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E0vQtbq73moAkCJTlExrhR5FdbTp6EWxhw5s2wkz1NNoWJcoIYwS5JqFhHymJE5VlEEeHIzLuSCH66kO3Dwhuw==" workbookSaltValue="T9tc8vun15GigIRrPvgE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0"/>
  <c r="W22" i="20"/>
  <c r="U10" i="11"/>
  <c r="W22" i="21"/>
  <c r="AF22" i="20"/>
  <c r="U18" i="11"/>
  <c r="AL22" i="20"/>
  <c r="AE22" i="20"/>
  <c r="AG22" i="20"/>
  <c r="L22" i="20"/>
  <c r="M22" i="20"/>
  <c r="N22" i="20"/>
  <c r="AQ22" i="21"/>
  <c r="U17" i="11"/>
  <c r="G14" i="14"/>
  <c r="F11" i="16" l="1"/>
  <c r="BL11" i="16" s="1"/>
  <c r="BA14" i="8"/>
  <c r="BG10" i="8"/>
  <c r="R21" i="8"/>
  <c r="F13" i="2"/>
  <c r="H12" i="2"/>
  <c r="B19" i="6"/>
  <c r="D9" i="6"/>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J22" i="20"/>
  <c r="S22" i="20"/>
  <c r="AW22" i="11"/>
  <c r="AV22" i="21"/>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M22" i="17"/>
  <c r="S22" i="11"/>
  <c r="E22" i="17"/>
  <c r="AT22" i="17"/>
  <c r="O22" i="11"/>
  <c r="AU22" i="16"/>
  <c r="BQ22" i="16"/>
  <c r="L22" i="11"/>
  <c r="F22" i="11"/>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L22" i="21"/>
  <c r="Q22" i="17"/>
  <c r="AD22" i="17"/>
  <c r="AR22" i="21"/>
  <c r="S22" i="21"/>
  <c r="AP22" i="16"/>
  <c r="AI22" i="11"/>
  <c r="M22" i="21"/>
  <c r="P22" i="11"/>
  <c r="BD22" i="16"/>
  <c r="AF22" i="16"/>
  <c r="AI22" i="16"/>
  <c r="N22" i="17"/>
  <c r="AW22" i="21"/>
  <c r="Y22" i="16"/>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<sst xmlns="http://schemas.openxmlformats.org/spreadsheetml/2006/main" count="2215" uniqueCount="978">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</sst>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XI833n40kDvUewi2xfXev1GJbLxeH+U2JhuIu1mCpxmGI5w0zs1K8DNBaERq4BGq4cORAJ2/0z/l8fjtMgXqw==" saltValue="2xYA7GbSbYbnIKyggpC7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24.619648318042813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66</v>
      </c>
      <c r="D10" s="230">
        <f>IF(ISNUMBER(Datos!I10),Datos!I10," - ")</f>
        <v>66</v>
      </c>
      <c r="E10" s="231">
        <f>IF(ISNUMBER(Datos!J10),Datos!J10," - ")</f>
        <v>45</v>
      </c>
      <c r="F10" s="231">
        <f>IF(ISNUMBER(Datos!K10),Datos!K10," - ")</f>
        <v>50</v>
      </c>
      <c r="G10" s="1193" t="str">
        <f>IF(Datos!E10&lt;&gt;"",Datos!E10,Datos!D10)</f>
        <v>37</v>
      </c>
      <c r="H10" s="232">
        <f>IF(ISNUMBER(Datos!L10),Datos!L10," - ")</f>
        <v>61</v>
      </c>
      <c r="I10" s="1203" t="str">
        <f>IF(ISNUMBER(Datos!AS10/Datos!BM10),Datos!AS10/Datos!BM10," - ")</f>
        <v xml:space="preserve"> - </v>
      </c>
      <c r="J10" s="1204">
        <f>IF(ISNUMBER(Datos!BY10/Datos!CN10),Datos!BY10/Datos!CN10," - ")</f>
        <v>0</v>
      </c>
      <c r="K10" s="235">
        <f t="shared" ref="K10:K13" si="1">IF(ISNUMBER((E10-F10)/C10),(E10-F10)/C10," - ")</f>
        <v>-7.575757575757576E-2</v>
      </c>
      <c r="L10" s="1205">
        <f>IF(ISNUMBER(NºAsuntos!I10/NºAsuntos!G10),(NºAsuntos!I10/NºAsuntos!G10)*11," - ")</f>
        <v>13.42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72.309644670050758</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66</v>
      </c>
      <c r="D14" s="1210">
        <f>SUBTOTAL(9,D9:D13)</f>
        <v>66</v>
      </c>
      <c r="E14" s="1211">
        <f>SUBTOTAL(9,E9:E13)</f>
        <v>45</v>
      </c>
      <c r="F14" s="1212">
        <f>SUBTOTAL(9,F9:F13)</f>
        <v>50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1496</v>
      </c>
      <c r="D16" s="230">
        <f>IF(ISNUMBER(IF(D_I="SI",Datos!I16,Datos!I16+Datos!AC16)),IF(D_I="SI",Datos!I16,Datos!I16+Datos!AC16)," - ")</f>
        <v>1472</v>
      </c>
      <c r="E16" s="231">
        <f>IF(ISNUMBER(IF(D_I="SI",Datos!J16,Datos!J16+Datos!AD16)),IF(D_I="SI",Datos!J16,Datos!J16+Datos!AD16)," - ")</f>
        <v>2663</v>
      </c>
      <c r="F16" s="231">
        <f>IF(ISNUMBER(IF(D_I="SI",Datos!K16,Datos!K16+Datos!AE16)),IF(D_I="SI",Datos!K16,Datos!K16+Datos!AE16)," - ")</f>
        <v>2616</v>
      </c>
      <c r="G16" s="1193" t="str">
        <f>IF(Datos!E16&lt;&gt;"",Datos!E16,Datos!D16)</f>
        <v>03</v>
      </c>
      <c r="H16" s="232">
        <f>IF(ISNUMBER(IF(D_I="SI",Datos!L16,Datos!L16+Datos!AF16)),IF(D_I="SI",Datos!L16,Datos!L16+Datos!AF16)," - ")</f>
        <v>1543</v>
      </c>
      <c r="I16" s="1203" t="str">
        <f>IF(ISNUMBER(Datos!AS16/Datos!BM16),Datos!AS16/Datos!BM16," - ")</f>
        <v xml:space="preserve"> - </v>
      </c>
      <c r="J16" s="1204">
        <f>IF(ISNUMBER(Datos!BY16/Datos!CN16),Datos!BY16/Datos!CN16," - ")</f>
        <v>0</v>
      </c>
      <c r="K16" s="235">
        <f t="shared" ref="K16:K19" si="3">IF(ISNUMBER((E16-F16)/C16),(E16-F16)/C16," - ")</f>
        <v>3.1417112299465241E-2</v>
      </c>
      <c r="L16" s="1205">
        <f>IF(ISNUMBER(NºAsuntos!I16/NºAsuntos!G16),(NºAsuntos!I16/NºAsuntos!G16)*11," - ")</f>
        <v>6.4881498470948005</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157</v>
      </c>
      <c r="D18" s="230">
        <f>IF(ISNUMBER(IF(D_I="SI",Datos!I18,Datos!I18+Datos!AC18)),IF(D_I="SI",Datos!I18,Datos!I18+Datos!AC18)," - ")</f>
        <v>155</v>
      </c>
      <c r="E18" s="231">
        <f>IF(ISNUMBER(IF(D_I="SI",Datos!J18,Datos!J18+Datos!AD18)),IF(D_I="SI",Datos!J18,Datos!J18+Datos!AD18)," - ")</f>
        <v>288</v>
      </c>
      <c r="F18" s="231">
        <f>IF(ISNUMBER(IF(D_I="SI",Datos!K18,Datos!K18+Datos!AE18)),IF(D_I="SI",Datos!K18,Datos!K18+Datos!AE18)," - ")</f>
        <v>286</v>
      </c>
      <c r="G18" s="1193" t="str">
        <f>IF(Datos!E18&lt;&gt;"",Datos!E18,Datos!D18)</f>
        <v>37</v>
      </c>
      <c r="H18" s="232">
        <f>IF(ISNUMBER(IF(D_I="SI",Datos!L18,Datos!L18+Datos!AF18)),IF(D_I="SI",Datos!L18,Datos!L18+Datos!AF18)," - ")</f>
        <v>159</v>
      </c>
      <c r="I18" s="1203" t="str">
        <f>IF(ISNUMBER(Datos!AS18/Datos!BM18),Datos!AS18/Datos!BM18," - ")</f>
        <v xml:space="preserve"> - </v>
      </c>
      <c r="J18" s="1204" t="str">
        <f>IF(ISNUMBER((Datos!BY18+Datos!BZ18)/Datos!CN18),(Datos!BY18+Datos!BZ18)/Datos!CN18," - ")</f>
        <v xml:space="preserve"> - </v>
      </c>
      <c r="K18" s="235">
        <f t="shared" si="3"/>
        <v>1.2738853503184714E-2</v>
      </c>
      <c r="L18" s="1205">
        <f>IF(ISNUMBER(NºAsuntos!I18/NºAsuntos!G18),(NºAsuntos!I18/NºAsuntos!G18)*11," - ")</f>
        <v>6.115384615384615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1653</v>
      </c>
      <c r="D20" s="1210">
        <f>SUBTOTAL(9,D16:D19)</f>
        <v>1627</v>
      </c>
      <c r="E20" s="1211">
        <f>SUBTOTAL(9,E16:E19)</f>
        <v>2951</v>
      </c>
      <c r="F20" s="1211">
        <f>SUBTOTAL(9,F16:F19)</f>
        <v>2902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1719</v>
      </c>
      <c r="D21" s="1232">
        <f>SUBTOTAL(9,D9:D20)</f>
        <v>1693</v>
      </c>
      <c r="E21" s="1233">
        <f>SUBTOTAL(9,E9:E20)</f>
        <v>2996</v>
      </c>
      <c r="F21" s="1233">
        <f>SUBTOTAL(9,F9:F20)</f>
        <v>2952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4Pf+3n995ySCh1O/BNVAzPqwDL7Nl62UtvaB1mT5KH80qKeTJO+JES3xtdzqqBsWiNFbwChBQNb6HiGwdDRJA==" saltValue="6UWZPdQ7aSEzSYLCQPq7T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EH7wOa7/IFL4RnwLUzvB2gyOAkQ64DHloXyTsERF3+twLe4se1139CwLpVgiEqX7nXxYOKoLmKvkKJozMnQXA==" saltValue="85MNwLxS0fqC6DAcAcBn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6018</v>
      </c>
      <c r="J9" s="186">
        <v>2257</v>
      </c>
      <c r="K9" s="186">
        <v>2520</v>
      </c>
      <c r="L9" s="186">
        <v>5755</v>
      </c>
      <c r="M9" s="186">
        <v>930</v>
      </c>
      <c r="N9" s="186">
        <v>845</v>
      </c>
      <c r="O9" s="186">
        <v>1025</v>
      </c>
      <c r="P9" s="186">
        <v>863</v>
      </c>
      <c r="Q9" s="186">
        <v>567</v>
      </c>
      <c r="R9" s="186">
        <v>7521</v>
      </c>
      <c r="S9" s="186">
        <v>8441</v>
      </c>
      <c r="T9" s="186">
        <v>1688</v>
      </c>
      <c r="U9" s="186">
        <v>2276</v>
      </c>
      <c r="V9" s="186">
        <v>7850</v>
      </c>
      <c r="W9" s="186">
        <v>1020</v>
      </c>
      <c r="X9" s="193">
        <v>624</v>
      </c>
      <c r="Y9" s="196">
        <v>64</v>
      </c>
      <c r="Z9" s="186">
        <v>132</v>
      </c>
      <c r="AA9" s="186">
        <v>96</v>
      </c>
      <c r="AB9" s="186">
        <v>100</v>
      </c>
      <c r="AC9" s="186">
        <v>0</v>
      </c>
      <c r="AD9" s="186">
        <v>0</v>
      </c>
      <c r="AE9" s="186">
        <v>0</v>
      </c>
      <c r="AF9" s="193">
        <v>0</v>
      </c>
      <c r="AG9" s="196">
        <v>66</v>
      </c>
      <c r="AH9" s="186">
        <v>116</v>
      </c>
      <c r="AI9" s="186">
        <v>103</v>
      </c>
      <c r="AJ9" s="197">
        <v>78</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8507</v>
      </c>
      <c r="AZ9" s="125">
        <f>IF(ISNUMBER(IF(J_V="SI",T9,T9+AH9)),IF(J_V="SI",T9,T9+AH9)," - ")</f>
        <v>1804</v>
      </c>
      <c r="BA9" s="126">
        <f>IF(ISNUMBER(IF(J_V="SI",U9,U9+AI9)),IF(J_V="SI",U9,U9+AI9)," - ")</f>
        <v>2379</v>
      </c>
      <c r="BB9" s="126">
        <f>IF(ISNUMBER(IF(J_V="SI",V9,V9+AJ9)),IF(J_V="SI",V9,V9+AJ9)," - ")</f>
        <v>7928</v>
      </c>
      <c r="BC9" s="127">
        <f>IF(ISNUMBER(X9),X9," - ")</f>
        <v>624</v>
      </c>
      <c r="BD9" s="128">
        <f>IF(ISNUMBER(BA9/AZ9),BA9/AZ9," - ")</f>
        <v>1.3187361419068737</v>
      </c>
      <c r="BE9" s="129">
        <f>IF(ISNUMBER(BB9/BA9),BB9/BA9, " - ")</f>
        <v>3.3324926439680538</v>
      </c>
      <c r="BF9" s="129">
        <f>IF(ISNUMBER(BC9/BA9),BC9/BA9, " - ")</f>
        <v>0.26229508196721313</v>
      </c>
      <c r="BG9" s="201">
        <f>IF(ISNUMBER((AY9+AZ9)/BA9),(AY9+AZ9)/BA9," - ")</f>
        <v>4.3341740226986127</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66</v>
      </c>
      <c r="J10" s="186">
        <v>45</v>
      </c>
      <c r="K10" s="186">
        <v>50</v>
      </c>
      <c r="L10" s="186">
        <v>61</v>
      </c>
      <c r="M10" s="186">
        <v>15</v>
      </c>
      <c r="N10" s="186">
        <v>26</v>
      </c>
      <c r="O10" s="186">
        <v>17</v>
      </c>
      <c r="P10" s="186">
        <v>4</v>
      </c>
      <c r="Q10" s="186">
        <v>9</v>
      </c>
      <c r="R10" s="186">
        <v>30</v>
      </c>
      <c r="S10" s="186">
        <v>44</v>
      </c>
      <c r="T10" s="186">
        <v>32</v>
      </c>
      <c r="U10" s="186">
        <v>38</v>
      </c>
      <c r="V10" s="186">
        <v>38</v>
      </c>
      <c r="W10" s="186">
        <v>13</v>
      </c>
      <c r="X10" s="193">
        <v>19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44</v>
      </c>
      <c r="AZ10" s="131">
        <f t="shared" si="0"/>
        <v>32</v>
      </c>
      <c r="BA10" s="131">
        <f t="shared" si="0"/>
        <v>38</v>
      </c>
      <c r="BB10" s="131">
        <f t="shared" si="0"/>
        <v>38</v>
      </c>
      <c r="BC10" s="127">
        <f t="shared" si="0"/>
        <v>13</v>
      </c>
      <c r="BD10" s="128">
        <f>IF(ISNUMBER(BA10/AZ10),BA10/AZ10," - ")</f>
        <v>1.1875</v>
      </c>
      <c r="BE10" s="129">
        <f>IF(ISNUMBER(BB10/BA10),BB10/BA10, " - ")</f>
        <v>1</v>
      </c>
      <c r="BF10" s="129">
        <f>IF(ISNUMBER(BC10/BA10),BC10/BA10, " - ")</f>
        <v>0.34210526315789475</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732</v>
      </c>
      <c r="J11" s="188">
        <v>310</v>
      </c>
      <c r="K11" s="188">
        <v>111</v>
      </c>
      <c r="L11" s="188">
        <v>931</v>
      </c>
      <c r="M11" s="188">
        <v>44</v>
      </c>
      <c r="N11" s="188">
        <v>110</v>
      </c>
      <c r="O11" s="186">
        <v>51</v>
      </c>
      <c r="P11" s="188">
        <v>46</v>
      </c>
      <c r="Q11" s="188">
        <v>8</v>
      </c>
      <c r="R11" s="188">
        <v>870</v>
      </c>
      <c r="S11" s="188">
        <v>759</v>
      </c>
      <c r="T11" s="188">
        <v>309</v>
      </c>
      <c r="U11" s="188">
        <v>304</v>
      </c>
      <c r="V11" s="188">
        <v>758</v>
      </c>
      <c r="W11" s="188">
        <v>169</v>
      </c>
      <c r="X11" s="194">
        <v>199</v>
      </c>
      <c r="Y11" s="196">
        <v>300</v>
      </c>
      <c r="Z11" s="186">
        <v>150</v>
      </c>
      <c r="AA11" s="186">
        <v>86</v>
      </c>
      <c r="AB11" s="186">
        <v>364</v>
      </c>
      <c r="AC11" s="188">
        <v>0</v>
      </c>
      <c r="AD11" s="188">
        <v>0</v>
      </c>
      <c r="AE11" s="188">
        <v>0</v>
      </c>
      <c r="AF11" s="194">
        <v>0</v>
      </c>
      <c r="AG11" s="207">
        <v>335</v>
      </c>
      <c r="AH11" s="188">
        <v>155</v>
      </c>
      <c r="AI11" s="188">
        <v>148</v>
      </c>
      <c r="AJ11" s="208">
        <v>342</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1094</v>
      </c>
      <c r="AZ11" s="129">
        <f t="shared" si="1"/>
        <v>464</v>
      </c>
      <c r="BA11" s="129">
        <f t="shared" si="1"/>
        <v>452</v>
      </c>
      <c r="BB11" s="129">
        <f t="shared" si="1"/>
        <v>1100</v>
      </c>
      <c r="BC11" s="127">
        <f>IF(ISNUMBER(X11),X11," - ")</f>
        <v>199</v>
      </c>
      <c r="BD11" s="128">
        <f t="shared" ref="BD11:BD13" si="2">IF(ISNUMBER(BA11/AZ11),BA11/AZ11," - ")</f>
        <v>0.97413793103448276</v>
      </c>
      <c r="BE11" s="129">
        <f t="shared" ref="BE11:BE13" si="3">IF(ISNUMBER(BB11/BA11),BB11/BA11, " - ")</f>
        <v>2.4336283185840708</v>
      </c>
      <c r="BF11" s="129">
        <f t="shared" ref="BF11:BF13" si="4">IF(ISNUMBER(BC11/BA11),BC11/BA11, " - ")</f>
        <v>0.44026548672566373</v>
      </c>
      <c r="BG11" s="201">
        <f t="shared" ref="BG11:BG13" si="5">IF(ISNUMBER((AY11+AZ11)/BA11),(AY11+AZ11)/BA11," - ")</f>
        <v>3.4469026548672566</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6816</v>
      </c>
      <c r="J14" s="189">
        <f t="shared" si="7"/>
        <v>2612</v>
      </c>
      <c r="K14" s="189">
        <f t="shared" si="7"/>
        <v>2681</v>
      </c>
      <c r="L14" s="189">
        <f t="shared" si="7"/>
        <v>6747</v>
      </c>
      <c r="M14" s="189">
        <f t="shared" si="7"/>
        <v>989</v>
      </c>
      <c r="N14" s="189">
        <f t="shared" si="7"/>
        <v>981</v>
      </c>
      <c r="O14" s="189">
        <f t="shared" si="7"/>
        <v>1093</v>
      </c>
      <c r="P14" s="189">
        <f t="shared" si="7"/>
        <v>913</v>
      </c>
      <c r="Q14" s="189">
        <f t="shared" si="7"/>
        <v>584</v>
      </c>
      <c r="R14" s="189">
        <f t="shared" si="7"/>
        <v>8421</v>
      </c>
      <c r="S14" s="189">
        <f t="shared" si="7"/>
        <v>9244</v>
      </c>
      <c r="T14" s="189">
        <f t="shared" si="7"/>
        <v>2029</v>
      </c>
      <c r="U14" s="189">
        <f t="shared" si="7"/>
        <v>2618</v>
      </c>
      <c r="V14" s="189">
        <f t="shared" si="7"/>
        <v>8646</v>
      </c>
      <c r="W14" s="189">
        <f t="shared" si="7"/>
        <v>1202</v>
      </c>
      <c r="X14" s="189">
        <f t="shared" si="7"/>
        <v>842</v>
      </c>
      <c r="Y14" s="189">
        <f t="shared" si="7"/>
        <v>364</v>
      </c>
      <c r="Z14" s="189">
        <f t="shared" si="7"/>
        <v>282</v>
      </c>
      <c r="AA14" s="189">
        <f t="shared" si="7"/>
        <v>182</v>
      </c>
      <c r="AB14" s="189">
        <f t="shared" si="7"/>
        <v>464</v>
      </c>
      <c r="AC14" s="189">
        <f t="shared" si="7"/>
        <v>0</v>
      </c>
      <c r="AD14" s="189">
        <f t="shared" si="7"/>
        <v>0</v>
      </c>
      <c r="AE14" s="189">
        <f t="shared" si="7"/>
        <v>0</v>
      </c>
      <c r="AF14" s="189">
        <f>SUBTOTAL(9,AF9:AF13)</f>
        <v>0</v>
      </c>
      <c r="AG14" s="189">
        <f t="shared" ref="AG14:AT14" si="8">SUBTOTAL(9,AG8:AG13)</f>
        <v>401</v>
      </c>
      <c r="AH14" s="189">
        <f t="shared" si="8"/>
        <v>271</v>
      </c>
      <c r="AI14" s="189">
        <f t="shared" si="8"/>
        <v>251</v>
      </c>
      <c r="AJ14" s="189">
        <f t="shared" si="8"/>
        <v>420</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9645</v>
      </c>
      <c r="AZ14" s="189">
        <f>SUBTOTAL(9,AZ8:AZ13)</f>
        <v>2300</v>
      </c>
      <c r="BA14" s="189">
        <f>SUBTOTAL(9,BA8:BA13)</f>
        <v>2869</v>
      </c>
      <c r="BB14" s="189">
        <f>SUBTOTAL(9,BB8:BB13)</f>
        <v>9066</v>
      </c>
      <c r="BC14" s="189">
        <f>SUBTOTAL(9,BC8:BC13)</f>
        <v>836</v>
      </c>
      <c r="BD14" s="210">
        <f>IF(ISNUMBER(BA14/AZ14),BA14/AZ14," - ")</f>
        <v>1.2473913043478262</v>
      </c>
      <c r="BE14" s="211">
        <f>IF(ISNUMBER(BB14/BA14),BB14/BA14, " - ")</f>
        <v>3.1599860578598813</v>
      </c>
      <c r="BF14" s="211">
        <f>IF(ISNUMBER(BC14/BA14),BC14/BA14, " - ")</f>
        <v>0.29139072847682118</v>
      </c>
      <c r="BG14" s="212">
        <f>IF(ISNUMBER((AY14+AZ14)/BA14),(AY14+AZ14)/BA14," - ")</f>
        <v>4.1634715928895085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1472</v>
      </c>
      <c r="J16" s="188">
        <v>2663</v>
      </c>
      <c r="K16" s="188">
        <v>2616</v>
      </c>
      <c r="L16" s="188">
        <v>1543</v>
      </c>
      <c r="M16" s="188">
        <v>312</v>
      </c>
      <c r="N16" s="188">
        <v>1421</v>
      </c>
      <c r="O16" s="186">
        <v>64</v>
      </c>
      <c r="P16" s="188">
        <v>164</v>
      </c>
      <c r="Q16" s="188">
        <v>120</v>
      </c>
      <c r="R16" s="188">
        <v>248</v>
      </c>
      <c r="S16" s="188">
        <v>1101</v>
      </c>
      <c r="T16" s="188">
        <v>2413</v>
      </c>
      <c r="U16" s="188">
        <v>2472</v>
      </c>
      <c r="V16" s="188">
        <v>1084</v>
      </c>
      <c r="W16" s="188">
        <v>291</v>
      </c>
      <c r="X16" s="194">
        <v>1451</v>
      </c>
      <c r="Y16" s="207">
        <v>0</v>
      </c>
      <c r="Z16" s="188">
        <v>0</v>
      </c>
      <c r="AA16" s="188">
        <v>0</v>
      </c>
      <c r="AB16" s="188">
        <v>0</v>
      </c>
      <c r="AC16" s="188">
        <v>0</v>
      </c>
      <c r="AD16" s="188">
        <v>159</v>
      </c>
      <c r="AE16" s="188">
        <v>159</v>
      </c>
      <c r="AF16" s="194">
        <v>0</v>
      </c>
      <c r="AG16" s="207">
        <v>0</v>
      </c>
      <c r="AH16" s="188">
        <v>0</v>
      </c>
      <c r="AI16" s="188">
        <v>0</v>
      </c>
      <c r="AJ16" s="208">
        <v>0</v>
      </c>
      <c r="AK16" s="187">
        <v>0</v>
      </c>
      <c r="AL16" s="188">
        <v>199</v>
      </c>
      <c r="AM16" s="188">
        <v>199</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1101</v>
      </c>
      <c r="AZ16" s="131">
        <f t="shared" si="10"/>
        <v>2413</v>
      </c>
      <c r="BA16" s="131">
        <f t="shared" si="10"/>
        <v>2472</v>
      </c>
      <c r="BB16" s="131">
        <f t="shared" si="10"/>
        <v>1084</v>
      </c>
      <c r="BC16" s="127">
        <f>IF(ISNUMBER(W16),W16," - ")</f>
        <v>291</v>
      </c>
      <c r="BD16" s="128">
        <f>IF(ISNUMBER(BA16/AZ16),BA16/AZ16," - ")</f>
        <v>1.0244508910070451</v>
      </c>
      <c r="BE16" s="129">
        <f>IF(ISNUMBER(BB16/BA16),BB16/BA16, " - ")</f>
        <v>0.43851132686084143</v>
      </c>
      <c r="BF16" s="129">
        <f>IF(ISNUMBER(BC16/BA16),BC16/BA16, " - ")</f>
        <v>0.11771844660194175</v>
      </c>
      <c r="BG16" s="201">
        <f t="shared" ref="BG16:BG19" si="11">IF(ISNUMBER((AY16+AZ16)/BA16),(AY16+AZ16)/BA16," - ")</f>
        <v>1.4215210355987056</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155</v>
      </c>
      <c r="J18" s="188">
        <v>288</v>
      </c>
      <c r="K18" s="188">
        <v>286</v>
      </c>
      <c r="L18" s="188">
        <v>159</v>
      </c>
      <c r="M18" s="188">
        <v>10</v>
      </c>
      <c r="N18" s="188">
        <v>175</v>
      </c>
      <c r="O18" s="188">
        <v>1</v>
      </c>
      <c r="P18" s="188">
        <v>0</v>
      </c>
      <c r="Q18" s="188">
        <v>3</v>
      </c>
      <c r="R18" s="188">
        <v>0</v>
      </c>
      <c r="S18" s="188">
        <v>124</v>
      </c>
      <c r="T18" s="188">
        <v>256</v>
      </c>
      <c r="U18" s="188">
        <v>271</v>
      </c>
      <c r="V18" s="188">
        <v>109</v>
      </c>
      <c r="W18" s="188">
        <v>6</v>
      </c>
      <c r="X18" s="194">
        <v>175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124</v>
      </c>
      <c r="AZ18" s="131">
        <f t="shared" si="15"/>
        <v>256</v>
      </c>
      <c r="BA18" s="131">
        <f t="shared" si="15"/>
        <v>271</v>
      </c>
      <c r="BB18" s="131">
        <f t="shared" si="15"/>
        <v>109</v>
      </c>
      <c r="BC18" s="127">
        <f>IF(ISNUMBER(W18),W18," - ")</f>
        <v>6</v>
      </c>
      <c r="BD18" s="128">
        <f>IF(ISNUMBER(BA18/AZ18),BA18/AZ18," - ")</f>
        <v>1.05859375</v>
      </c>
      <c r="BE18" s="129">
        <f>IF(ISNUMBER(BB18/BA18),BB18/BA18, " - ")</f>
        <v>0.40221402214022139</v>
      </c>
      <c r="BF18" s="129">
        <f>IF(ISNUMBER(BC18/BA18),BC18/BA18, " - ")</f>
        <v>2.2140221402214021E-2</v>
      </c>
      <c r="BG18" s="201">
        <f>IF(ISNUMBER((AY18+AZ18)/BA18),(AY18+AZ18)/BA18," - ")</f>
        <v>1.4022140221402215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1627</v>
      </c>
      <c r="J20" s="189">
        <f t="shared" si="16"/>
        <v>2951</v>
      </c>
      <c r="K20" s="189">
        <f t="shared" si="16"/>
        <v>2902</v>
      </c>
      <c r="L20" s="189">
        <f t="shared" si="16"/>
        <v>1702</v>
      </c>
      <c r="M20" s="189">
        <f t="shared" si="16"/>
        <v>322</v>
      </c>
      <c r="N20" s="189">
        <f t="shared" si="16"/>
        <v>1596</v>
      </c>
      <c r="O20" s="189">
        <f t="shared" si="16"/>
        <v>65</v>
      </c>
      <c r="P20" s="189">
        <f t="shared" si="16"/>
        <v>164</v>
      </c>
      <c r="Q20" s="189">
        <f t="shared" si="16"/>
        <v>123</v>
      </c>
      <c r="R20" s="189">
        <f t="shared" si="16"/>
        <v>248</v>
      </c>
      <c r="S20" s="189">
        <f t="shared" si="16"/>
        <v>1225</v>
      </c>
      <c r="T20" s="189">
        <f t="shared" si="16"/>
        <v>2669</v>
      </c>
      <c r="U20" s="189">
        <f t="shared" si="16"/>
        <v>2743</v>
      </c>
      <c r="V20" s="189">
        <f t="shared" si="16"/>
        <v>1193</v>
      </c>
      <c r="W20" s="189">
        <f t="shared" si="16"/>
        <v>297</v>
      </c>
      <c r="X20" s="189">
        <f t="shared" si="16"/>
        <v>1626</v>
      </c>
      <c r="Y20" s="189">
        <f t="shared" si="16"/>
        <v>0</v>
      </c>
      <c r="Z20" s="189">
        <f t="shared" si="16"/>
        <v>0</v>
      </c>
      <c r="AA20" s="189">
        <f t="shared" si="16"/>
        <v>0</v>
      </c>
      <c r="AB20" s="189">
        <f t="shared" si="16"/>
        <v>0</v>
      </c>
      <c r="AC20" s="189">
        <f t="shared" si="16"/>
        <v>0</v>
      </c>
      <c r="AD20" s="189">
        <f t="shared" si="16"/>
        <v>159</v>
      </c>
      <c r="AE20" s="189">
        <f t="shared" si="16"/>
        <v>159</v>
      </c>
      <c r="AF20" s="189">
        <f t="shared" si="16"/>
        <v>0</v>
      </c>
      <c r="AG20" s="189">
        <f t="shared" si="16"/>
        <v>0</v>
      </c>
      <c r="AH20" s="189">
        <f t="shared" si="16"/>
        <v>0</v>
      </c>
      <c r="AI20" s="189">
        <f t="shared" si="16"/>
        <v>0</v>
      </c>
      <c r="AJ20" s="189">
        <f t="shared" si="16"/>
        <v>0</v>
      </c>
      <c r="AK20" s="189">
        <f t="shared" si="16"/>
        <v>0</v>
      </c>
      <c r="AL20" s="189">
        <f t="shared" si="16"/>
        <v>199</v>
      </c>
      <c r="AM20" s="189">
        <f t="shared" si="16"/>
        <v>199</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1225</v>
      </c>
      <c r="AZ20" s="189">
        <f>SUBTOTAL(9,AZ15:AZ19)</f>
        <v>2669</v>
      </c>
      <c r="BA20" s="189">
        <f>SUBTOTAL(9,BA15:BA19)</f>
        <v>2743</v>
      </c>
      <c r="BB20" s="189">
        <f>SUBTOTAL(9,BB15:BB19)</f>
        <v>1193</v>
      </c>
      <c r="BC20" s="189">
        <f>SUBTOTAL(9,BC15:BC19)</f>
        <v>297</v>
      </c>
      <c r="BD20" s="210">
        <f>IF(ISNUMBER(BA20/AZ20),BA20/AZ20," - ")</f>
        <v>1.0277257399775197</v>
      </c>
      <c r="BE20" s="211">
        <f>IF(ISNUMBER(BB20/BA20),BB20/BA20, " - ")</f>
        <v>0.43492526430915057</v>
      </c>
      <c r="BF20" s="211">
        <f>IF(ISNUMBER(BC20/BA20),BC20/BA20, " - ")</f>
        <v>0.10827561064527889</v>
      </c>
      <c r="BG20" s="212">
        <f>IF(ISNUMBER((AY20+AZ20)/BA20),(AY20+AZ20)/BA20," - ")</f>
        <v>1.4196135617936565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8443</v>
      </c>
      <c r="J21" s="136">
        <f t="shared" si="19"/>
        <v>5563</v>
      </c>
      <c r="K21" s="136">
        <f t="shared" si="19"/>
        <v>5583</v>
      </c>
      <c r="L21" s="136">
        <f t="shared" si="19"/>
        <v>8449</v>
      </c>
      <c r="M21" s="136">
        <f t="shared" si="19"/>
        <v>1311</v>
      </c>
      <c r="N21" s="136">
        <f t="shared" si="19"/>
        <v>2577</v>
      </c>
      <c r="O21" s="136">
        <f t="shared" si="19"/>
        <v>1158</v>
      </c>
      <c r="P21" s="136">
        <f t="shared" si="19"/>
        <v>1077</v>
      </c>
      <c r="Q21" s="136">
        <f t="shared" si="19"/>
        <v>707</v>
      </c>
      <c r="R21" s="136">
        <f t="shared" si="19"/>
        <v>8669</v>
      </c>
      <c r="S21" s="136">
        <f t="shared" si="19"/>
        <v>10469</v>
      </c>
      <c r="T21" s="136">
        <f t="shared" si="19"/>
        <v>4698</v>
      </c>
      <c r="U21" s="136">
        <f t="shared" si="19"/>
        <v>5361</v>
      </c>
      <c r="V21" s="136">
        <f t="shared" si="19"/>
        <v>9839</v>
      </c>
      <c r="W21" s="136">
        <f t="shared" si="19"/>
        <v>1499</v>
      </c>
      <c r="X21" s="136">
        <f t="shared" si="19"/>
        <v>2468</v>
      </c>
      <c r="Y21" s="136">
        <f t="shared" si="19"/>
        <v>364</v>
      </c>
      <c r="Z21" s="136">
        <f t="shared" si="19"/>
        <v>282</v>
      </c>
      <c r="AA21" s="136">
        <f t="shared" si="19"/>
        <v>182</v>
      </c>
      <c r="AB21" s="136">
        <f t="shared" si="19"/>
        <v>464</v>
      </c>
      <c r="AC21" s="136">
        <f t="shared" si="19"/>
        <v>0</v>
      </c>
      <c r="AD21" s="136">
        <f t="shared" si="19"/>
        <v>159</v>
      </c>
      <c r="AE21" s="136">
        <f t="shared" si="19"/>
        <v>159</v>
      </c>
      <c r="AF21" s="136">
        <f t="shared" si="19"/>
        <v>0</v>
      </c>
      <c r="AG21" s="136">
        <f t="shared" si="19"/>
        <v>401</v>
      </c>
      <c r="AH21" s="136">
        <f t="shared" si="19"/>
        <v>271</v>
      </c>
      <c r="AI21" s="136">
        <f t="shared" si="19"/>
        <v>251</v>
      </c>
      <c r="AJ21" s="136">
        <f t="shared" si="19"/>
        <v>420</v>
      </c>
      <c r="AK21" s="136">
        <f t="shared" si="19"/>
        <v>0</v>
      </c>
      <c r="AL21" s="136">
        <f t="shared" si="19"/>
        <v>199</v>
      </c>
      <c r="AM21" s="136">
        <f t="shared" si="19"/>
        <v>199</v>
      </c>
      <c r="AN21" s="215">
        <f t="shared" si="19"/>
        <v>0</v>
      </c>
      <c r="AO21" s="216">
        <v>11</v>
      </c>
      <c r="AP21" s="216">
        <v>11</v>
      </c>
      <c r="AQ21" s="216">
        <v>11</v>
      </c>
      <c r="AR21" s="216">
        <v>11</v>
      </c>
      <c r="AS21" s="158">
        <f t="shared" si="19"/>
        <v>0</v>
      </c>
      <c r="AT21" s="158">
        <f t="shared" si="19"/>
        <v>0</v>
      </c>
      <c r="AU21" s="216"/>
      <c r="AV21" s="217"/>
      <c r="AW21" s="216"/>
      <c r="AX21" s="217"/>
      <c r="AY21" s="135">
        <f>SUBTOTAL(9,AY9:AY20)</f>
        <v>10870</v>
      </c>
      <c r="AZ21" s="136">
        <f>SUBTOTAL(9,AZ9:AZ20)</f>
        <v>4969</v>
      </c>
      <c r="BA21" s="136">
        <f>SUBTOTAL(9,BA9:BA20)</f>
        <v>5612</v>
      </c>
      <c r="BB21" s="136">
        <f>SUBTOTAL(9,BB9:BB20)</f>
        <v>10259</v>
      </c>
      <c r="BC21" s="137">
        <f>SUBTOTAL(9,BC9:BC20)</f>
        <v>1133</v>
      </c>
      <c r="BD21" s="218">
        <f>IF(ISNUMBER(BA21/AZ21),BA21/AZ21," - ")</f>
        <v>1.1294022942241899</v>
      </c>
      <c r="BE21" s="215">
        <f>IF(ISNUMBER(BB21/BA21),BB21/BA21, " - ")</f>
        <v>1.8280470420527442</v>
      </c>
      <c r="BF21" s="215">
        <f>IF(ISNUMBER(BC21/BA21),BC21/BA21, " - ")</f>
        <v>0.20188880969351389</v>
      </c>
      <c r="BG21" s="137">
        <f>IF(ISNUMBER((AY21+AZ21)/BA21),(AY21+AZ21)/BA21," - ")</f>
        <v>2.8223449750534568</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z8XVrNyGnkHc9N6irx5rgp72X3pT54aQFofpcUD3zEWkibr1Jma7UxTXAav2mUN2kwL2FwH4O46KJ5FWXvG1Q==" saltValue="auNOFKZV4vv4UIUV23Gm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4GUplmdgWuAmyxI89oI6350BGpjWwjw3CtTj7wwNCZtiN+1LqIhVkfVF6RKZ6Y5sO557+XB5mpcMrdoFn7MOw==" saltValue="XCtProO0SH/3sg1a7V2O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JAEN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132</v>
      </c>
      <c r="O9" s="504"/>
      <c r="P9" s="504"/>
      <c r="Q9" s="502">
        <f>IF(ISNUMBER(Datos!P9),Datos!P9,0)</f>
        <v>863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567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100</v>
      </c>
      <c r="AI9" s="504" t="str">
        <f>IF(ISNUMBER(Datos!CD9),Datos!CD9,"-")</f>
        <v>-</v>
      </c>
      <c r="AJ9" s="504" t="str">
        <f>IF(ISNUMBER(Datos!EN9),Datos!EN9," - ")</f>
        <v xml:space="preserve"> - </v>
      </c>
      <c r="AK9" s="504"/>
      <c r="AL9" s="505"/>
      <c r="AM9" s="672">
        <f>IF(ISNUMBER(Datos!R9),Datos!R9," - ")</f>
        <v>7521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930</v>
      </c>
      <c r="BD9" s="620">
        <f>IF(ISNUMBER(Datos!N9),Datos!N9," - ")</f>
        <v>845</v>
      </c>
      <c r="BE9" s="620" t="str">
        <f>IF(ISNUMBER(Datos!BW9),Datos!BW9," - ")</f>
        <v xml:space="preserve"> - </v>
      </c>
      <c r="BF9" s="668" t="str">
        <f>IF(ISNUMBER(Datos!BX9),Datos!BX9," - ")</f>
        <v xml:space="preserve"> - </v>
      </c>
      <c r="BG9" s="669">
        <f>IF(ISNUMBER(IF(J_V="SI",Datos!K9/Datos!J9,(Datos!K9+Datos!AA9)/(Datos!J9+Datos!Z9))),IF(J_V="SI",Datos!K9/Datos!J9,(Datos!K9+Datos!AA9)/(Datos!J9+Datos!Z9))," - ")</f>
        <v>1.0950188363331939</v>
      </c>
      <c r="BH9" s="670">
        <f>IF(ISNUMBER(((IF(J_V="SI",Datos!L9/Datos!K9,(Datos!L9+Datos!AB9)/(Datos!K9+Datos!AA9)))*11)/factor_trimestre),((IF(J_V="SI",Datos!L9/Datos!K9,(Datos!L9+Datos!AB9)/(Datos!K9+Datos!AA9)))*11)/factor_trimestre," - ")</f>
        <v>6.7144495412844041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4.0968858131487887E-2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66</v>
      </c>
      <c r="G10" s="498">
        <f>IF(ISNUMBER(Datos!I10),Datos!I10," - ")</f>
        <v>66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50</v>
      </c>
      <c r="AC10" s="502">
        <f>IF(ISNUMBER(Datos!Q10),Datos!Q10," - ")</f>
        <v>9</v>
      </c>
      <c r="AD10" s="504"/>
      <c r="AE10" s="517"/>
      <c r="AF10" s="506">
        <f>IF(ISNUMBER(Datos!L10),Datos!L10,"-")</f>
        <v>61</v>
      </c>
      <c r="AG10" s="504"/>
      <c r="AH10" s="504"/>
      <c r="AI10" s="504"/>
      <c r="AJ10" s="504"/>
      <c r="AK10" s="504"/>
      <c r="AL10" s="505"/>
      <c r="AM10" s="672">
        <f>IF(ISNUMBER(Datos!R10),Datos!R10," - ")</f>
        <v>30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26</v>
      </c>
      <c r="BE10" s="620" t="str">
        <f>IF(ISNUMBER(Datos!BW10),Datos!BW10," - ")</f>
        <v xml:space="preserve"> - </v>
      </c>
      <c r="BF10" s="668" t="str">
        <f>IF(ISNUMBER(Datos!BX10),Datos!BX10," - ")</f>
        <v xml:space="preserve"> - </v>
      </c>
      <c r="BG10" s="669">
        <f>IF(ISNUMBER(Datos!K10/Datos!J10),Datos!K10/Datos!J10," - ")</f>
        <v>1.1111111111111112</v>
      </c>
      <c r="BH10" s="670">
        <f>IF(ISNUMBER(((Datos!L10/Datos!K10)*11)/factor_trimestre),((Datos!L10/Datos!K10)*11)/factor_trimestre," - ")</f>
        <v>3.66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-0.14285714285714285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150</v>
      </c>
      <c r="O11" s="504"/>
      <c r="P11" s="504"/>
      <c r="Q11" s="502">
        <f>IF(ISNUMBER(Datos!P11),Datos!P11,0)</f>
        <v>46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8</v>
      </c>
      <c r="AD11" s="504"/>
      <c r="AE11" s="517"/>
      <c r="AF11" s="506" t="str">
        <f>IF(ISNUMBER(IF(J_V="SI",Datos!L11,Datos!L11+Datos!AB11)-IF(Monitorios="SI",Datos!CD11,0)),
                          IF(J_V="SI",Datos!L11,Datos!L11+Datos!AB11)-IF(Monitorios="SI",Datos!CD11,0),
                          " - ")</f>
        <v xml:space="preserve"> - </v>
      </c>
      <c r="AG11" s="504"/>
      <c r="AH11" s="504">
        <f>IF(ISNUMBER(Datos!AB11),Datos!AB11,"-")</f>
        <v>364</v>
      </c>
      <c r="AI11" s="504"/>
      <c r="AJ11" s="504"/>
      <c r="AK11" s="504"/>
      <c r="AL11" s="505"/>
      <c r="AM11" s="672">
        <f>IF(ISNUMBER(Datos!R11),Datos!R11," - ")</f>
        <v>870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44</v>
      </c>
      <c r="BD11" s="620">
        <f>IF(ISNUMBER(Datos!N11),Datos!N11," - ")</f>
        <v>110</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0.42826086956521742</v>
      </c>
      <c r="BH11" s="670">
        <f>IF(ISNUMBER(((IF(J_V="SI",Datos!L11/Datos!K11,(Datos!L11+Datos!AB11)/(Datos!K11+Datos!AA11)))*11)/factor_trimestre),((IF(J_V="SI",Datos!L11/Datos!K11,(Datos!L11+Datos!AB11)/(Datos!K11+Datos!AA11)))*11)/factor_trimestre," - ")</f>
        <v>19.720812182741117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4.567307692307692E-2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66</v>
      </c>
      <c r="G14" s="1045">
        <f t="shared" si="1"/>
        <v>66</v>
      </c>
      <c r="H14" s="1046">
        <f t="shared" si="1"/>
        <v>0</v>
      </c>
      <c r="I14" s="1045">
        <f t="shared" si="1"/>
        <v>0</v>
      </c>
      <c r="J14" s="1014">
        <f t="shared" si="1"/>
        <v>0</v>
      </c>
      <c r="K14" s="1014">
        <f t="shared" si="1"/>
        <v>0</v>
      </c>
      <c r="L14" s="1046">
        <f t="shared" si="1"/>
        <v>0</v>
      </c>
      <c r="M14" s="1046">
        <f t="shared" si="1"/>
        <v>0</v>
      </c>
      <c r="N14" s="1046">
        <f t="shared" si="1"/>
        <v>282</v>
      </c>
      <c r="O14" s="1047">
        <f t="shared" si="1"/>
        <v>0</v>
      </c>
      <c r="P14" s="1047">
        <f t="shared" si="1"/>
        <v>0</v>
      </c>
      <c r="Q14" s="1046">
        <f t="shared" si="1"/>
        <v>913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50</v>
      </c>
      <c r="AC14" s="1046">
        <f t="shared" si="2"/>
        <v>584</v>
      </c>
      <c r="AD14" s="1046">
        <f t="shared" si="2"/>
        <v>0</v>
      </c>
      <c r="AE14" s="1046">
        <f t="shared" si="2"/>
        <v>0</v>
      </c>
      <c r="AF14" s="1046">
        <f t="shared" si="2"/>
        <v>61</v>
      </c>
      <c r="AG14" s="1046">
        <f t="shared" si="2"/>
        <v>0</v>
      </c>
      <c r="AH14" s="1046">
        <f t="shared" si="2"/>
        <v>464</v>
      </c>
      <c r="AI14" s="1046">
        <f t="shared" si="2"/>
        <v>0</v>
      </c>
      <c r="AJ14" s="1046">
        <f t="shared" si="2"/>
        <v>0</v>
      </c>
      <c r="AK14" s="1046">
        <f t="shared" si="2"/>
        <v>0</v>
      </c>
      <c r="AL14" s="1046">
        <f t="shared" si="2"/>
        <v>0</v>
      </c>
      <c r="AM14" s="1046">
        <f t="shared" si="2"/>
        <v>8421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989</v>
      </c>
      <c r="BD14" s="1046">
        <f t="shared" si="2"/>
        <v>981</v>
      </c>
      <c r="BE14" s="1046">
        <f t="shared" si="2"/>
        <v>0</v>
      </c>
      <c r="BF14" s="1046">
        <f t="shared" si="2"/>
        <v>0</v>
      </c>
      <c r="BG14" s="1046">
        <f>IF(ISNUMBER(Datos!K14/Datos!J14),Datos!K14/Datos!J14," - ")</f>
        <v>1.026416539050536</v>
      </c>
      <c r="BH14" s="1050">
        <f>IF(ISNUMBER(((Datos!L14/Datos!K14)*11)/factor_trimestre),((Datos!L14/Datos!K14)*11)/factor_trimestre," - ")</f>
        <v>7.5497948526669143</v>
      </c>
      <c r="BI14" s="1046">
        <f>IF(ISNUMBER('Resol  Asuntos'!D14/NºAsuntos!G14),'Resol  Asuntos'!D14/NºAsuntos!G14," - ")</f>
        <v>0.34544184421935031</v>
      </c>
      <c r="BJ14" s="1046" t="str">
        <f>IF(ISNUMBER(Datos!CI14/Datos!CJ14),Datos!CI14/Datos!CJ14," - ")</f>
        <v xml:space="preserve"> - </v>
      </c>
      <c r="BK14" s="1046">
        <f>SUBTOTAL(9,BK8:BK13)</f>
        <v>0</v>
      </c>
      <c r="BL14" s="1046">
        <f>IF(ISNUMBER((I14-AB14+L14)/(F14)),(I14-AB14+L14)/(F14)," - ")</f>
        <v>-0.75757575757575757</v>
      </c>
      <c r="BM14" s="1051">
        <f>SUBTOTAL(9,BM9:BM13)</f>
        <v>-5.6215207802578042E-2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1496</v>
      </c>
      <c r="G16" s="651">
        <f>IF(ISNUMBER(IF(D_I="SI",Datos!I16,Datos!I16+Datos!AC16)),IF(D_I="SI",Datos!I16,Datos!I16+Datos!AC16)," - ")</f>
        <v>1472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164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2616</v>
      </c>
      <c r="AC16" s="231">
        <f>IF(ISNUMBER(Datos!Q16),Datos!Q16," - ")</f>
        <v>120</v>
      </c>
      <c r="AD16" s="344"/>
      <c r="AE16" s="516"/>
      <c r="AF16" s="649">
        <f>IF(ISNUMBER(IF(D_I="SI",Datos!L16,Datos!L16+Datos!AF16)),IF(D_I="SI",Datos!L16,Datos!L16+Datos!AF16)," - ")</f>
        <v>1543</v>
      </c>
      <c r="AG16" s="344"/>
      <c r="AH16" s="344"/>
      <c r="AI16" s="344"/>
      <c r="AJ16" s="504"/>
      <c r="AK16" s="344"/>
      <c r="AL16" s="500"/>
      <c r="AM16" s="345">
        <f>IF(ISNUMBER(Datos!R16),Datos!R16," - ")</f>
        <v>248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312</v>
      </c>
      <c r="BD16" s="234">
        <f>IF(ISNUMBER(Datos!N16),Datos!N16," - ")</f>
        <v>1421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0.98235073225685321</v>
      </c>
      <c r="BH16" s="670">
        <f>IF(ISNUMBER(((IF(D_I="SI",Datos!L16/Datos!K16,(Datos!L16+Datos!AF16)/(Datos!K16+Datos!AE16)))*11)/factor_trimestre),((IF(D_I="SI",Datos!L16/Datos!K16,(Datos!L16+Datos!AF16)/(Datos!K16+Datos!AE16)))*11)/factor_trimestre," - ")</f>
        <v>1.7694954128440366</v>
      </c>
      <c r="BI16" s="248">
        <f>IF(ISNUMBER('Resol  Asuntos'!D16/NºAsuntos!G16),'Resol  Asuntos'!D16/NºAsuntos!G16," - ")</f>
        <v>0.11926605504587157</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155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286</v>
      </c>
      <c r="AC18" s="502">
        <f>IF(ISNUMBER(Datos!Q18),Datos!Q18," - ")</f>
        <v>3</v>
      </c>
      <c r="AD18" s="504"/>
      <c r="AE18" s="516"/>
      <c r="AF18" s="506">
        <f>IF(ISNUMBER(Datos!L18),Datos!L18,"-")</f>
        <v>159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175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0.99305555555555558</v>
      </c>
      <c r="BH18" s="670">
        <f>IF(ISNUMBER(((IF(D_I="SI",Datos!L18/Datos!K18,(Datos!L18+Datos!AF18)/(Datos!K18+Datos!AE18)))*11)/factor_trimestre),((IF(D_I="SI",Datos!L18/Datos!K18,(Datos!L18+Datos!AF18)/(Datos!K18+Datos!AE18)))*11)/factor_trimestre," - ")</f>
        <v>1.6678321678321677</v>
      </c>
      <c r="BI18" s="669">
        <f>IF(ISNUMBER('Resol  Asuntos'!D18/NºAsuntos!G18),'Resol  Asuntos'!D18/NºAsuntos!G18," - ")</f>
        <v>3.4965034965034968E-2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1496</v>
      </c>
      <c r="G20" s="1045">
        <f>SUBTOTAL(9,G16:G19)</f>
        <v>1627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2902</v>
      </c>
      <c r="AC20" s="1046">
        <f t="shared" si="5"/>
        <v>123</v>
      </c>
      <c r="AD20" s="1046">
        <f t="shared" si="5"/>
        <v>0</v>
      </c>
      <c r="AE20" s="1046">
        <f t="shared" si="5"/>
        <v>0</v>
      </c>
      <c r="AF20" s="1046">
        <f t="shared" si="5"/>
        <v>1702</v>
      </c>
      <c r="AG20" s="1046">
        <f t="shared" si="5"/>
        <v>0</v>
      </c>
      <c r="AH20" s="1046">
        <f t="shared" si="5"/>
        <v>0</v>
      </c>
      <c r="AI20" s="1046">
        <f t="shared" si="5"/>
        <v>0</v>
      </c>
      <c r="AJ20" s="1046">
        <f t="shared" si="5"/>
        <v>0</v>
      </c>
      <c r="AK20" s="1046">
        <f t="shared" si="5"/>
        <v>0</v>
      </c>
      <c r="AL20" s="1046">
        <f t="shared" si="5"/>
        <v>0</v>
      </c>
      <c r="AM20" s="1046">
        <f t="shared" si="5"/>
        <v>248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322</v>
      </c>
      <c r="BD20" s="1046">
        <f t="shared" si="5"/>
        <v>1596</v>
      </c>
      <c r="BE20" s="1046">
        <f t="shared" si="5"/>
        <v>0</v>
      </c>
      <c r="BF20" s="1046">
        <f t="shared" si="5"/>
        <v>0</v>
      </c>
      <c r="BG20" s="1046">
        <f>IF(ISNUMBER(Datos!K20/Datos!J20),Datos!K20/Datos!J20," - ")</f>
        <v>0.98339545916638427</v>
      </c>
      <c r="BH20" s="1050">
        <f>IF(ISNUMBER(((Datos!L20/Datos!K20)*11)/factor_trimestre),((Datos!L20/Datos!K20)*11)/factor_trimestre," - ")</f>
        <v>1.75947622329428</v>
      </c>
      <c r="BI20" s="1046">
        <f>SUBTOTAL(9,BI16:BI19)</f>
        <v>0.15423109001090654</v>
      </c>
      <c r="BJ20" s="1046">
        <f>SUBTOTAL(9,BJ16:BJ19)</f>
        <v>0</v>
      </c>
      <c r="BK20" s="1046">
        <f>SUBTOTAL(9,BK16:BK19)</f>
        <v>0</v>
      </c>
      <c r="BL20" s="1046">
        <f>IF(ISNUMBER((I20-AB20+L20)/(F20)),(I20-AB20+L20)/(F20)," - ")</f>
        <v>-1.9398395721925135</v>
      </c>
      <c r="BM20" s="1052">
        <f>IF(ISNUMBER((Datos!P20-Datos!Q20)/(Datos!R20-Datos!P20+Datos!Q20)),(Datos!P20-Datos!Q20)/(Datos!R20-Datos!P20+Datos!Q20)," - ")</f>
        <v>0.19806763285024154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1562</v>
      </c>
      <c r="G21" s="967">
        <f t="shared" si="7"/>
        <v>1693</v>
      </c>
      <c r="H21" s="969">
        <f t="shared" si="7"/>
        <v>0</v>
      </c>
      <c r="I21" s="967">
        <f t="shared" si="7"/>
        <v>0</v>
      </c>
      <c r="J21" s="969">
        <f t="shared" si="7"/>
        <v>0</v>
      </c>
      <c r="K21" s="969">
        <f t="shared" si="7"/>
        <v>0</v>
      </c>
      <c r="L21" s="1028">
        <f t="shared" si="7"/>
        <v>0</v>
      </c>
      <c r="M21" s="1028">
        <f t="shared" si="7"/>
        <v>0</v>
      </c>
      <c r="N21" s="1028">
        <f t="shared" si="7"/>
        <v>282</v>
      </c>
      <c r="O21" s="1028">
        <f t="shared" si="7"/>
        <v>0</v>
      </c>
      <c r="P21" s="1028">
        <f t="shared" si="7"/>
        <v>0</v>
      </c>
      <c r="Q21" s="969">
        <f t="shared" si="7"/>
        <v>1077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2952</v>
      </c>
      <c r="AC21" s="968">
        <f t="shared" si="8"/>
        <v>707</v>
      </c>
      <c r="AD21" s="968">
        <f t="shared" si="8"/>
        <v>0</v>
      </c>
      <c r="AE21" s="968">
        <f t="shared" si="8"/>
        <v>0</v>
      </c>
      <c r="AF21" s="975">
        <f t="shared" si="8"/>
        <v>1763</v>
      </c>
      <c r="AG21" s="975">
        <f t="shared" si="8"/>
        <v>0</v>
      </c>
      <c r="AH21" s="975">
        <f t="shared" si="8"/>
        <v>464</v>
      </c>
      <c r="AI21" s="975">
        <f t="shared" si="8"/>
        <v>0</v>
      </c>
      <c r="AJ21" s="968">
        <f t="shared" si="8"/>
        <v>0</v>
      </c>
      <c r="AK21" s="975">
        <f t="shared" si="8"/>
        <v>0</v>
      </c>
      <c r="AL21" s="975">
        <f t="shared" si="8"/>
        <v>0</v>
      </c>
      <c r="AM21" s="975">
        <f t="shared" si="8"/>
        <v>8669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1311</v>
      </c>
      <c r="BD21" s="967">
        <f t="shared" si="8"/>
        <v>2577</v>
      </c>
      <c r="BE21" s="967">
        <f t="shared" si="8"/>
        <v>0</v>
      </c>
      <c r="BF21" s="977">
        <f t="shared" si="8"/>
        <v>0</v>
      </c>
      <c r="BG21" s="1062">
        <f>IF(ISNUMBER(Datos!K21/Datos!J21),Datos!K21/Datos!J21," - ")</f>
        <v>1.0035951824555096</v>
      </c>
      <c r="BH21" s="1062">
        <f>IF(ISNUMBER(((Datos!L21/Datos!K21)*11)/factor_trimestre),((Datos!L21/Datos!K21)*11)/factor_trimestre," - ")</f>
        <v>4.54003224073079</v>
      </c>
      <c r="BI21" s="960">
        <f>IF(ISNUMBER(Datos!J21/Datos!I21),Datos!J21/Datos!I21," - ")</f>
        <v>0.65888902049034703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-1.8898847631241997</v>
      </c>
      <c r="BM21" s="1036">
        <f>IF(ISNUMBER((Datos!P21-Datos!Q21+R21)/(Datos!R21-Datos!P21+Datos!Q21-R21)),(Datos!P21-Datos!Q21+R21)/(Datos!R21-Datos!P21+Datos!Q21-R21)," - ")</f>
        <v>4.4583684781298955E-2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677.2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2.5619594773603196</v>
      </c>
      <c r="F23" s="600">
        <f>IF(ISNUMBER(STDEV(F8:F20)),STDEV(F8:F20),"-")</f>
        <v>825.61088494116484</v>
      </c>
      <c r="G23" s="601">
        <f>IF(ISNUMBER(STDEV(G8:G20)),STDEV(G8:G20),"-")</f>
        <v>799.00732161851931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1447.4471320224445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421.14599888987715</v>
      </c>
      <c r="BD23" s="600"/>
      <c r="BE23" s="600">
        <f>IF(ISNUMBER(STDEV(BE8:BE20)),STDEV(BE8:BE20),"-")</f>
        <v>0</v>
      </c>
      <c r="BF23" s="605">
        <f>IF(ISNUMBER(STDEV(BF8:BF20)),STDEV(BF8:BF20),"-")</f>
        <v>0</v>
      </c>
      <c r="BG23" s="915">
        <f>IF(ISNUMBER(STDEV(BG8:BG20)),STDEV(BG8:BG20),"-")</f>
        <v>0.23413746827960427</v>
      </c>
      <c r="BH23" s="919">
        <f>IF(ISNUMBER(STDEV(BH8:BH20)),STDEV(BH8:BH20),"-")</f>
        <v>6.4703713351641747</v>
      </c>
      <c r="BI23" s="254">
        <f>IF(ISNUMBER(STDEV(BI8:BI20)),STDEV(BI8:BI20),"-")</f>
        <v>0.13123341062172678</v>
      </c>
      <c r="BJ23" s="235" t="str">
        <f>IF(ISNUMBER(BL23/BM23),BL23/BM23," - ")</f>
        <v xml:space="preserve"> - </v>
      </c>
      <c r="BK23" s="627"/>
      <c r="BL23" s="608">
        <f>IF(ISNUMBER(STDEV(BL8:BL20)),STDEV(BL8:BL20),"-")</f>
        <v>0.83598676046698406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89cYKeVKqYaD4X7qZalo79biVZk3RgU97HoQr9F2Qc4aku5eUJHU0obSsBmtOOmamk1k/Rj70W7Ifxjx286iA==" saltValue="RtNOPSUd4LoKadSBiqGc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JAEN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863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567</v>
      </c>
      <c r="AA9" s="506" t="str">
        <f>IF(ISNUMBER(IF(J_V="SI",Datos!L9,Datos!L9+Datos!AB9)-IF(Monitorios="SI",Datos!CD9,0)),
                          IF(J_V="SI",Datos!L9,Datos!L9+Datos!AB9)-IF(Monitorios="SI",Datos!CD9,0),
                          " - ")</f>
        <v xml:space="preserve"> - </v>
      </c>
      <c r="AB9" s="504"/>
      <c r="AC9" s="504"/>
      <c r="AD9" s="517"/>
      <c r="AE9" s="517">
        <f>IF(ISNUMBER(Datos!R9),Datos!R9," - ")</f>
        <v>7521</v>
      </c>
      <c r="AF9" s="620" t="str">
        <f>IF(ISNUMBER(Datos!BV9),Datos!BV9," - ")</f>
        <v xml:space="preserve"> - </v>
      </c>
      <c r="AG9" s="507" t="str">
        <f>IF(ISNUMBER(Datos!DV9),Datos!DV9," - ")</f>
        <v xml:space="preserve"> - </v>
      </c>
      <c r="AH9" s="508"/>
      <c r="AI9" s="509"/>
      <c r="AJ9" s="507">
        <f>IF(ISNUMBER(Datos!M9),Datos!M9," - ")</f>
        <v>930</v>
      </c>
      <c r="AK9" s="620">
        <f>IF(ISNUMBER(Datos!N9),Datos!N9," - ")</f>
        <v>845</v>
      </c>
      <c r="AL9" s="620" t="str">
        <f>IF(ISNUMBER(Datos!BW9),Datos!BW9," - ")</f>
        <v xml:space="preserve"> - </v>
      </c>
      <c r="AM9" s="668" t="str">
        <f>IF(ISNUMBER(Datos!BX9),Datos!BX9," - ")</f>
        <v xml:space="preserve"> - </v>
      </c>
      <c r="AN9" s="669"/>
      <c r="AO9" s="670">
        <f>IF(ISNUMBER(((NºAsuntos!I9/NºAsuntos!G9)*11)/factor_trimestre),((NºAsuntos!I9/NºAsuntos!G9)*11)/factor_trimestre," - ")</f>
        <v>6.7144495412844041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4.0968858131487887E-2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66</v>
      </c>
      <c r="G10" s="507">
        <f>IF(ISNUMBER(Datos!I10),Datos!I10," - ")</f>
        <v>66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50</v>
      </c>
      <c r="Z10" s="704">
        <f>IF(ISNUMBER(Datos!Q10),Datos!Q10," - ")</f>
        <v>9</v>
      </c>
      <c r="AA10" s="506">
        <f>IF(ISNUMBER(Datos!L10),Datos!L10,"-")</f>
        <v>61</v>
      </c>
      <c r="AB10" s="504"/>
      <c r="AC10" s="504"/>
      <c r="AD10" s="517"/>
      <c r="AE10" s="517">
        <f>IF(ISNUMBER(Datos!R10),Datos!R10," - ")</f>
        <v>30</v>
      </c>
      <c r="AF10" s="620" t="str">
        <f>IF(ISNUMBER(Datos!BV10),Datos!BV10," - ")</f>
        <v xml:space="preserve"> - </v>
      </c>
      <c r="AG10" s="507" t="str">
        <f>IF(ISNUMBER(Datos!DV10),Datos!DV10," - ")</f>
        <v xml:space="preserve"> - </v>
      </c>
      <c r="AH10" s="508"/>
      <c r="AI10" s="509"/>
      <c r="AJ10" s="507">
        <f>IF(ISNUMBER(Datos!M10),Datos!M10," - ")</f>
        <v>15</v>
      </c>
      <c r="AK10" s="620">
        <f>IF(ISNUMBER(Datos!N10),Datos!N10," - ")</f>
        <v>26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3.66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-0.14285714285714285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46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8</v>
      </c>
      <c r="AA11" s="506" t="str">
        <f>IF(ISNUMBER(IF(J_V="SI",Datos!L11,Datos!L11+Datos!AB11)-IF(Monitorios="SI",Datos!CD11,0)),
                          IF(J_V="SI",Datos!L11,Datos!L11+Datos!AB11)-IF(Monitorios="SI",Datos!CD11,0),
                          " - ")</f>
        <v xml:space="preserve"> - </v>
      </c>
      <c r="AB11" s="504"/>
      <c r="AC11" s="504"/>
      <c r="AD11" s="517"/>
      <c r="AE11" s="517">
        <f>IF(ISNUMBER(Datos!R11),Datos!R11," - ")</f>
        <v>870</v>
      </c>
      <c r="AF11" s="620" t="str">
        <f>IF(ISNUMBER(Datos!BV11),Datos!BV11," - ")</f>
        <v xml:space="preserve"> - </v>
      </c>
      <c r="AG11" s="507" t="str">
        <f>IF(ISNUMBER(Datos!DV11),Datos!DV11," - ")</f>
        <v xml:space="preserve"> - </v>
      </c>
      <c r="AH11" s="508"/>
      <c r="AI11" s="509"/>
      <c r="AJ11" s="507">
        <f>IF(ISNUMBER(Datos!M11),Datos!M11," - ")</f>
        <v>44</v>
      </c>
      <c r="AK11" s="620">
        <f>IF(ISNUMBER(Datos!N11),Datos!N11," - ")</f>
        <v>110</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19.720812182741117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4.567307692307692E-2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66</v>
      </c>
      <c r="G14" s="1045">
        <f>SUBTOTAL(9,G8:G13)</f>
        <v>66</v>
      </c>
      <c r="H14" s="1055"/>
      <c r="I14" s="1045">
        <f t="shared" ref="I14:N14" si="1">SUBTOTAL(9,I8:I13)</f>
        <v>0</v>
      </c>
      <c r="J14" s="1014">
        <f t="shared" si="1"/>
        <v>0</v>
      </c>
      <c r="K14" s="1055">
        <f t="shared" si="1"/>
        <v>0</v>
      </c>
      <c r="L14" s="1055">
        <f t="shared" si="1"/>
        <v>0</v>
      </c>
      <c r="M14" s="1055">
        <f t="shared" si="1"/>
        <v>0</v>
      </c>
      <c r="N14" s="1055">
        <f t="shared" si="1"/>
        <v>913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50</v>
      </c>
      <c r="Z14" s="1054">
        <f t="shared" si="3"/>
        <v>584</v>
      </c>
      <c r="AA14" s="1047">
        <f t="shared" si="3"/>
        <v>61</v>
      </c>
      <c r="AB14" s="1047">
        <f t="shared" si="3"/>
        <v>0</v>
      </c>
      <c r="AC14" s="1047">
        <f t="shared" si="3"/>
        <v>0</v>
      </c>
      <c r="AD14" s="1047">
        <f t="shared" si="3"/>
        <v>0</v>
      </c>
      <c r="AE14" s="1047">
        <f t="shared" si="3"/>
        <v>8421</v>
      </c>
      <c r="AF14" s="1055">
        <f t="shared" si="3"/>
        <v>0</v>
      </c>
      <c r="AG14" s="1055">
        <f t="shared" si="3"/>
        <v>0</v>
      </c>
      <c r="AH14" s="1055">
        <f t="shared" si="3"/>
        <v>0</v>
      </c>
      <c r="AI14" s="1055">
        <f t="shared" si="3"/>
        <v>0</v>
      </c>
      <c r="AJ14" s="1055">
        <f t="shared" si="3"/>
        <v>989</v>
      </c>
      <c r="AK14" s="1055">
        <f t="shared" si="3"/>
        <v>981</v>
      </c>
      <c r="AL14" s="1055">
        <f t="shared" si="3"/>
        <v>0</v>
      </c>
      <c r="AM14" s="1055">
        <f t="shared" si="3"/>
        <v>0</v>
      </c>
      <c r="AN14" s="1055">
        <f t="shared" si="3"/>
        <v>0</v>
      </c>
      <c r="AO14" s="1051">
        <f>IF(ISNUMBER(((NºAsuntos!I14/NºAsuntos!G14)*11)/factor_trimestre),((NºAsuntos!I14/NºAsuntos!G14)*11)/factor_trimestre," - ")</f>
        <v>7.5560600768424742</v>
      </c>
      <c r="AP14" s="1057" t="str">
        <f>IF(ISNUMBER(Datos!CI14/Datos!CJ14),Datos!CI14/Datos!CJ14," - ")</f>
        <v xml:space="preserve"> - </v>
      </c>
      <c r="AQ14" s="1075">
        <f t="shared" ref="AQ14:AV14" si="4">SUBTOTAL(9,AQ9:AQ13)</f>
        <v>0</v>
      </c>
      <c r="AR14" s="1075">
        <f t="shared" si="4"/>
        <v>-5.6215207802578042E-2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1496</v>
      </c>
      <c r="G16" s="507">
        <f>IF(ISNUMBER(IF(D_I="SI",Datos!I16,Datos!I16+Datos!AC16)),IF(D_I="SI",Datos!I16,Datos!I16+Datos!AC16)," - ")</f>
        <v>1472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164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2616</v>
      </c>
      <c r="Z16" s="704">
        <f>IF(ISNUMBER(Datos!Q16),Datos!Q16," - ")</f>
        <v>120</v>
      </c>
      <c r="AA16" s="506">
        <f>IF(ISNUMBER(IF(D_I="SI",Datos!L16,Datos!L16+Datos!AF16)),IF(D_I="SI",Datos!L16,Datos!L16+Datos!AF16)," - ")</f>
        <v>1543</v>
      </c>
      <c r="AB16" s="504"/>
      <c r="AC16" s="504"/>
      <c r="AD16" s="517"/>
      <c r="AE16" s="517">
        <f>IF(ISNUMBER(Datos!R16),Datos!R16," - ")</f>
        <v>248</v>
      </c>
      <c r="AF16" s="620" t="str">
        <f>IF(ISNUMBER(Datos!BV16),Datos!BV16," - ")</f>
        <v xml:space="preserve"> - </v>
      </c>
      <c r="AG16" s="507"/>
      <c r="AH16" s="508"/>
      <c r="AI16" s="509"/>
      <c r="AJ16" s="507">
        <f>IF(ISNUMBER(Datos!M16),Datos!M16," - ")</f>
        <v>312</v>
      </c>
      <c r="AK16" s="620">
        <f>IF(ISNUMBER(Datos!N16),Datos!N16," - ")</f>
        <v>1421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1.7694954128440366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155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286</v>
      </c>
      <c r="Z18" s="704">
        <f>IF(ISNUMBER(Datos!Q18),Datos!Q18," - ")</f>
        <v>3</v>
      </c>
      <c r="AA18" s="506">
        <f>IF(ISNUMBER(Datos!L18),Datos!L18,"-")</f>
        <v>159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10</v>
      </c>
      <c r="AK18" s="620">
        <f>IF(ISNUMBER(Datos!N18),Datos!N18," - ")</f>
        <v>175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1.6678321678321677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1496</v>
      </c>
      <c r="G20" s="1045">
        <f>SUBTOTAL(9,G16:G19)</f>
        <v>1627</v>
      </c>
      <c r="H20" s="1079">
        <f>SUBTOTAL(9,H16:H19)</f>
        <v>0</v>
      </c>
      <c r="I20" s="1058">
        <f>SUBTOTAL(9,I16:I19)</f>
        <v>0</v>
      </c>
      <c r="J20" s="1014">
        <f>SUBTOTAL(9,J15:J19)</f>
        <v>0</v>
      </c>
      <c r="K20" s="1079">
        <f t="shared" ref="K20:S20" si="5">SUBTOTAL(9,K16:K19)</f>
        <v>0</v>
      </c>
      <c r="L20" s="1079">
        <f t="shared" si="5"/>
        <v>0</v>
      </c>
      <c r="M20" s="1079">
        <f t="shared" si="5"/>
        <v>0</v>
      </c>
      <c r="N20" s="1079">
        <f t="shared" si="5"/>
        <v>164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2902</v>
      </c>
      <c r="Z20" s="1079">
        <f t="shared" si="6"/>
        <v>123</v>
      </c>
      <c r="AA20" s="1079">
        <f t="shared" si="6"/>
        <v>1702</v>
      </c>
      <c r="AB20" s="1079">
        <f t="shared" si="6"/>
        <v>0</v>
      </c>
      <c r="AC20" s="1079">
        <f t="shared" si="6"/>
        <v>0</v>
      </c>
      <c r="AD20" s="1079">
        <f t="shared" si="6"/>
        <v>0</v>
      </c>
      <c r="AE20" s="1079">
        <f t="shared" si="6"/>
        <v>248</v>
      </c>
      <c r="AF20" s="1079">
        <f t="shared" si="6"/>
        <v>0</v>
      </c>
      <c r="AG20" s="1079">
        <f t="shared" si="6"/>
        <v>0</v>
      </c>
      <c r="AH20" s="1079">
        <f t="shared" si="6"/>
        <v>0</v>
      </c>
      <c r="AI20" s="1079">
        <f t="shared" si="6"/>
        <v>0</v>
      </c>
      <c r="AJ20" s="1079">
        <f t="shared" si="6"/>
        <v>322</v>
      </c>
      <c r="AK20" s="1079">
        <f t="shared" si="6"/>
        <v>1596</v>
      </c>
      <c r="AL20" s="1079">
        <f t="shared" si="6"/>
        <v>0</v>
      </c>
      <c r="AM20" s="1079">
        <f t="shared" si="6"/>
        <v>0</v>
      </c>
      <c r="AN20" s="1079">
        <f t="shared" si="6"/>
        <v>0</v>
      </c>
      <c r="AO20" s="1081">
        <f>IF(ISNUMBER(((NºAsuntos!I20/NºAsuntos!G20)*11)/factor_trimestre),((NºAsuntos!I20/NºAsuntos!G20)*11)/factor_trimestre," - ")</f>
        <v>1.75947622329428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1562</v>
      </c>
      <c r="G21" s="967">
        <f t="shared" si="8"/>
        <v>1693</v>
      </c>
      <c r="H21" s="968">
        <f t="shared" si="8"/>
        <v>0</v>
      </c>
      <c r="I21" s="967">
        <f t="shared" si="8"/>
        <v>0</v>
      </c>
      <c r="J21" s="969">
        <f t="shared" si="8"/>
        <v>0</v>
      </c>
      <c r="K21" s="967">
        <f t="shared" si="8"/>
        <v>0</v>
      </c>
      <c r="L21" s="970">
        <f t="shared" si="8"/>
        <v>0</v>
      </c>
      <c r="M21" s="967">
        <f t="shared" si="8"/>
        <v>0</v>
      </c>
      <c r="N21" s="968">
        <f t="shared" si="8"/>
        <v>1077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2952</v>
      </c>
      <c r="Z21" s="974">
        <f t="shared" si="9"/>
        <v>707</v>
      </c>
      <c r="AA21" s="975">
        <f t="shared" si="9"/>
        <v>1763</v>
      </c>
      <c r="AB21" s="975">
        <f t="shared" si="9"/>
        <v>0</v>
      </c>
      <c r="AC21" s="975">
        <f t="shared" si="9"/>
        <v>0</v>
      </c>
      <c r="AD21" s="976">
        <f t="shared" si="9"/>
        <v>0</v>
      </c>
      <c r="AE21" s="976">
        <f t="shared" si="9"/>
        <v>8669</v>
      </c>
      <c r="AF21" s="977">
        <f t="shared" si="9"/>
        <v>0</v>
      </c>
      <c r="AG21" s="978">
        <f t="shared" si="9"/>
        <v>0</v>
      </c>
      <c r="AH21" s="979">
        <f t="shared" si="9"/>
        <v>0</v>
      </c>
      <c r="AI21" s="977">
        <f t="shared" si="9"/>
        <v>0</v>
      </c>
      <c r="AJ21" s="967">
        <f t="shared" si="9"/>
        <v>1311</v>
      </c>
      <c r="AK21" s="967">
        <f t="shared" si="9"/>
        <v>2577</v>
      </c>
      <c r="AL21" s="967">
        <f t="shared" si="9"/>
        <v>0</v>
      </c>
      <c r="AM21" s="980">
        <f t="shared" si="9"/>
        <v>0</v>
      </c>
      <c r="AN21" s="970">
        <f>IF(ISNUMBER(Datos!K21/Datos!J21),Datos!K21/Datos!J21," - ")</f>
        <v>1.0035951824555096</v>
      </c>
      <c r="AO21" s="970">
        <f>IF(ISNUMBER(FIND("06",Criterios!A8,1)),(IF(ISNUMBER(((Datos!R21/Datos!Q21)*11)/factor_trimestre),((Datos!R21/Datos!Q21)*11)/factor_trimestre," - ")),(IF(ISNUMBER(((Datos!L21/Datos!K21)*11)/factor_trimestre),((Datos!L21/Datos!K21)*11)/factor_trimestre," - ")))</f>
        <v>4.54003224073079</v>
      </c>
      <c r="AP21" s="981" t="str">
        <f>IF(ISNUMBER(Datos!CI21/Datos!CJ21),Datos!CI21/Datos!CJ21," - ")</f>
        <v xml:space="preserve"> - </v>
      </c>
      <c r="AQ21" s="981">
        <f>IF(OR(ISNUMBER(FIND("01",Criterios!A8,1)),ISNUMBER(FIND("02",Criterios!A8,1)),ISNUMBER(FIND("03",Criterios!A8,1)),ISNUMBER(FIND("04",Criterios!A8,1))),(J21-Y21+K21)/(F21-K21),(I21-Y21+K21)/(F21-K21))</f>
        <v>-1.8898847631241997</v>
      </c>
      <c r="AR21" s="981">
        <f>IF(ISNUMBER((Datos!P21-Datos!Q21+O21)/(Datos!R21-Datos!P21+Datos!Q21-O21)),(Datos!P21-Datos!Q21+O21)/(Datos!R21-Datos!P21+Datos!Q21-O21)," - ")</f>
        <v>4.4583684781298955E-2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677.2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825.61088494116484</v>
      </c>
      <c r="G23" s="601">
        <f>IF(ISNUMBER(STDEV(G8:G20)),STDEV(G8:G20),"-")</f>
        <v>799.00732161851931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421.14599888987715</v>
      </c>
      <c r="AK23" s="257"/>
      <c r="AL23" s="257">
        <f>IF(ISNUMBER(STDEV(AL8:AL20)),STDEV(AL8:AL20),"-")</f>
        <v>0</v>
      </c>
      <c r="AM23" s="259">
        <f>IF(ISNUMBER(STDEV(AM8:AM20)),STDEV(AM8:AM20),"-")</f>
        <v>0</v>
      </c>
      <c r="AN23" s="587">
        <f>IF(ISNUMBER(STDEV(AN8:AN20)),STDEV(AN8:AN20),"-")</f>
        <v>0</v>
      </c>
      <c r="AO23" s="588">
        <f>IF(ISNUMBER(STDEV(AO8:AO20)),STDEV(AO8:AO20),"-")</f>
        <v>6.4706024651920497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mND/Wxna9hakIznvECGf9vwZ5CeLKYJboIo/kbVRHieGudp4UBjjKx3dfjkAnFCBLE/Y9Swhc7UKbmkZvVa+g==" saltValue="VvtL/iSMWIA+TWYrkVCL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gSNWDLJnaUM1n6uH241hAziUQWOMXbtF1JDsdCeniW98DB3+/YfQSD63LE3CETje6FqdbfRNRVgsufu6G0SWQ==" saltValue="GbGgCTudBZATxXP7Q62U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XSB0lpRzJmdBcVrYIXgnWnpGR2o+80WRipNqk+9/1PgvUerFJwPxqyc/ziNfTYZ6EROou4zoB2zJaVfU3HG9w==" saltValue="k+/6v5XqAvmDzTrmj7ef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JAEN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0.34544184421935031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0.24426427055308958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9soDUWGiG24Rl50EAo+xiH9g77ZSu1dT1uvBRORFL7s9+zBdYdCwbvW9iedGVvdBjhvU+nQjonwGRUTEI063w==" saltValue="egjx+vgI9sN9WST28K+y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xIWCjDN/o39D+r37Z+De54RF85xFQefxGfLCrjJFA9YPbL+Jpfu6WUxO9EXv3VPkOZyqRm1/kxxshg2VziaHA==" saltValue="lSL8ayR1kEFoA5Qp5807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JAEN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6082</v>
      </c>
      <c r="D9" s="416">
        <f>IF(ISNUMBER(C9/Datos!BH9),C9/Datos!BH9," - ")</f>
        <v>1216.4000000000001</v>
      </c>
      <c r="E9" s="415">
        <f>IF(ISNUMBER(IF(J_V="SI",Datos!J9,Datos!J9+Datos!Z9)),IF(J_V="SI",Datos!J9,Datos!J9+Datos!Z9)," - ")</f>
        <v>2389</v>
      </c>
      <c r="F9" s="416">
        <f>IF(ISNUMBER(E9/B9),E9/B9," - ")</f>
        <v>477.8</v>
      </c>
      <c r="G9" s="415">
        <f>IF(ISNUMBER(IF(J_V="SI",Datos!K9,Datos!K9+Datos!AA9)),IF(J_V="SI",Datos!K9,Datos!K9+Datos!AA9)," - ")</f>
        <v>2616</v>
      </c>
      <c r="H9" s="416">
        <f>IF(ISNUMBER(G9/B9),G9/B9," - ")</f>
        <v>523.20000000000005</v>
      </c>
      <c r="I9" s="415">
        <f>IF(ISNUMBER(IF(J_V="SI",Datos!L9,Datos!L9+Datos!AB9)),IF(J_V="SI",Datos!L9,Datos!L9+Datos!AB9)," - ")</f>
        <v>5855</v>
      </c>
      <c r="J9" s="416">
        <f>IF(ISNUMBER(I9/B9),I9/B9," - ")</f>
        <v>1171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66</v>
      </c>
      <c r="D10" s="416">
        <f>IF(ISNUMBER(C10/Datos!BH10),C10/Datos!BH10," - ")</f>
        <v>66</v>
      </c>
      <c r="E10" s="415">
        <f>IF(ISNUMBER(Datos!J10),Datos!J10," - ")</f>
        <v>45</v>
      </c>
      <c r="F10" s="416">
        <f>IF(ISNUMBER(E10/B10),E10/B10," - ")</f>
        <v>45</v>
      </c>
      <c r="G10" s="415">
        <f>IF(ISNUMBER(Datos!K10),Datos!K10," - ")</f>
        <v>50</v>
      </c>
      <c r="H10" s="416">
        <f>IF(ISNUMBER(G10/B10),G10/B10," - ")</f>
        <v>50</v>
      </c>
      <c r="I10" s="415">
        <f>IF(ISNUMBER(Datos!L10),Datos!L10," - ")</f>
        <v>61</v>
      </c>
      <c r="J10" s="416">
        <f>IF(ISNUMBER(I10/B10),I10/B10," - ")</f>
        <v>61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1032</v>
      </c>
      <c r="D11" s="416">
        <f>IF(ISNUMBER(C11/Datos!BH11),C11/Datos!BH11," - ")</f>
        <v>1032</v>
      </c>
      <c r="E11" s="415">
        <f>IF(ISNUMBER(IF(J_V="SI",Datos!J11,Datos!J11+Datos!Z11)),IF(J_V="SI",Datos!J11,Datos!J11+Datos!Z11)," - ")</f>
        <v>460</v>
      </c>
      <c r="F11" s="416">
        <f>IF(ISNUMBER(E11/B11),E11/B11," - ")</f>
        <v>460</v>
      </c>
      <c r="G11" s="415">
        <f>IF(ISNUMBER(IF(J_V="SI",Datos!K11,Datos!K11+Datos!AA11)),IF(J_V="SI",Datos!K11,Datos!K11+Datos!AA11)," - ")</f>
        <v>197</v>
      </c>
      <c r="H11" s="416">
        <f>IF(ISNUMBER(G11/B11),G11/B11," - ")</f>
        <v>197</v>
      </c>
      <c r="I11" s="415">
        <f>IF(ISNUMBER(IF(J_V="SI",Datos!L11,Datos!L11+Datos!AB11)),IF(J_V="SI",Datos!L11,Datos!L11+Datos!AB11)," - ")</f>
        <v>1295</v>
      </c>
      <c r="J11" s="416">
        <f>IF(ISNUMBER(I11/B11),I11/B11," - ")</f>
        <v>1295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7180</v>
      </c>
      <c r="D14" s="997" t="str">
        <f>IF(ISNUMBER(C14/Datos!BI14),C14/Datos!BI14," - ")</f>
        <v xml:space="preserve"> - </v>
      </c>
      <c r="E14" s="996">
        <f>SUBTOTAL(9,E8:E13)</f>
        <v>2894</v>
      </c>
      <c r="F14" s="997">
        <f>IF(ISNUMBER(E14/B14),E14/B14," - ")</f>
        <v>413.42857142857144</v>
      </c>
      <c r="G14" s="996">
        <f>SUBTOTAL(9,G8:G13)</f>
        <v>2863</v>
      </c>
      <c r="H14" s="997">
        <f>IF(ISNUMBER(G14/B14),G14/B14," - ")</f>
        <v>409</v>
      </c>
      <c r="I14" s="996">
        <f>SUBTOTAL(9,I8:I13)</f>
        <v>7211</v>
      </c>
      <c r="J14" s="997">
        <f>IF(ISNUMBER(I14/B14),I14/B14," - ")</f>
        <v>1030.1428571428571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1472</v>
      </c>
      <c r="D16" s="416">
        <f>IF(ISNUMBER(C16/Datos!BH16),C16/Datos!BH16," - ")</f>
        <v>368</v>
      </c>
      <c r="E16" s="415">
        <f>IF(ISNUMBER(IF(D_I="SI",Datos!J16,Datos!J16+Datos!AD16)),IF(D_I="SI",Datos!J16,Datos!J16+Datos!AD16)," - ")</f>
        <v>2663</v>
      </c>
      <c r="F16" s="416">
        <f>IF(ISNUMBER(E16/B16),E16/B16," - ")</f>
        <v>665.75</v>
      </c>
      <c r="G16" s="415">
        <f>IF(ISNUMBER(IF(D_I="SI",Datos!K16,Datos!K16+Datos!AE16)),IF(D_I="SI",Datos!K16,Datos!K16+Datos!AE16)," - ")</f>
        <v>2616</v>
      </c>
      <c r="H16" s="416">
        <f>IF(ISNUMBER(G16/B16),G16/B16," - ")</f>
        <v>654</v>
      </c>
      <c r="I16" s="415">
        <f>IF(ISNUMBER(IF(D_I="SI",Datos!L16,Datos!L16+Datos!AF16)),IF(D_I="SI",Datos!L16,Datos!L16+Datos!AF16)," - ")</f>
        <v>1543</v>
      </c>
      <c r="J16" s="416">
        <f>IF(ISNUMBER(I16/B16),I16/B16," - ")</f>
        <v>385.75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155</v>
      </c>
      <c r="D18" s="416">
        <f>IF(ISNUMBER(C18/Datos!BH18),C18/Datos!BH18," - ")</f>
        <v>155</v>
      </c>
      <c r="E18" s="415">
        <f>IF(ISNUMBER(IF(D_I="SI",Datos!J18,Datos!J18+Datos!AD18)),IF(D_I="SI",Datos!J18,Datos!J18+Datos!AD18)," - ")</f>
        <v>288</v>
      </c>
      <c r="F18" s="416">
        <f>IF(ISNUMBER(E18/B18),E18/B18," - ")</f>
        <v>288</v>
      </c>
      <c r="G18" s="415">
        <f>IF(ISNUMBER(IF(D_I="SI",Datos!K18,Datos!K18+Datos!AE18)),IF(D_I="SI",Datos!K18,Datos!K18+Datos!AE18)," - ")</f>
        <v>286</v>
      </c>
      <c r="H18" s="416">
        <f>IF(ISNUMBER(G18/B18),G18/B18," - ")</f>
        <v>286</v>
      </c>
      <c r="I18" s="415">
        <f>IF(ISNUMBER(IF(D_I="SI",Datos!L18,Datos!L18+Datos!AF18)),IF(D_I="SI",Datos!L18,Datos!L18+Datos!AF18)," - ")</f>
        <v>159</v>
      </c>
      <c r="J18" s="416">
        <f>IF(ISNUMBER(I18/B18),I18/B18," - ")</f>
        <v>159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1627</v>
      </c>
      <c r="D20" s="997" t="str">
        <f>IF(ISNUMBER(C20/Datos!BI20),C20/Datos!BI20," - ")</f>
        <v xml:space="preserve"> - </v>
      </c>
      <c r="E20" s="996">
        <f>SUBTOTAL(9,E15:E19)</f>
        <v>2951</v>
      </c>
      <c r="F20" s="997">
        <f>IF(ISNUMBER(E20/B20),E20/B20," - ")</f>
        <v>590.20000000000005</v>
      </c>
      <c r="G20" s="996">
        <f>SUBTOTAL(9,G15:G19)</f>
        <v>2902</v>
      </c>
      <c r="H20" s="997">
        <f>IF(ISNUMBER(G20/B20),G20/B20," - ")</f>
        <v>580.4</v>
      </c>
      <c r="I20" s="996">
        <f>SUBTOTAL(9,I15:I19)</f>
        <v>1702</v>
      </c>
      <c r="J20" s="997">
        <f>IF(ISNUMBER(I20/B20),I20/B20," - ")</f>
        <v>340.4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8807</v>
      </c>
      <c r="D21" s="942" t="str">
        <f>IF(ISNUMBER(C21/Datos!BI21),C21/Datos!BI21," - ")</f>
        <v xml:space="preserve"> - </v>
      </c>
      <c r="E21" s="941">
        <f>SUBTOTAL(9,E9:E20)</f>
        <v>5845</v>
      </c>
      <c r="F21" s="942">
        <f>IF(ISNUMBER(E21/B21),E21/B21," - ")</f>
        <v>531.36363636363637</v>
      </c>
      <c r="G21" s="941">
        <f>SUBTOTAL(9,G9:G20)</f>
        <v>5765</v>
      </c>
      <c r="H21" s="942">
        <f>IF(ISNUMBER(G21/B21),G21/B21," - ")</f>
        <v>524.09090909090912</v>
      </c>
      <c r="I21" s="941">
        <f>SUBTOTAL(9,I9:I20)</f>
        <v>8913</v>
      </c>
      <c r="J21" s="942">
        <f>IF(ISNUMBER(I21/B21),I21/B21," - ")</f>
        <v>810.27272727272725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vkMPmnjn9AGn0gPbR0tKWWEA75PZFoNaFdiG5lTAxbe4Vd4OANZw3Amla5nQor4C2LbQEnzTKTmBvGp8aYjwg==" saltValue="NPdAEJ1CXQxqnlJAXKkj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JAEN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66</v>
      </c>
      <c r="G10" s="803">
        <f>IF(ISNUMBER(Datos!I10),Datos!I10," - ")</f>
        <v>66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50</v>
      </c>
      <c r="AC10" s="802" t="str">
        <f>IF(ISNUMBER(IF(D_I="SI",DatosP!K18,DatosP!K18+DatosP!AE18)),IF(D_I="SI",DatosP!K18,DatosP!K18+DatosP!AE18)," - ")</f>
        <v xml:space="preserve"> - </v>
      </c>
      <c r="AD10" s="804"/>
      <c r="AE10" s="804"/>
      <c r="AF10" s="807">
        <f>IF(ISNUMBER(Datos!L10),Datos!L10,"-")</f>
        <v>61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26</v>
      </c>
      <c r="AN10" s="811">
        <f>IF(ISNUMBER(Datos!BW10+DatosP!BW18),Datos!BW10+DatosP!BW18," - ")</f>
        <v>0</v>
      </c>
      <c r="AO10" s="812">
        <f>IF(ISNUMBER(Datos!BX10+DatosP!BX18),Datos!BX10+DatosP!BX18," - ")</f>
        <v>0</v>
      </c>
      <c r="AP10" s="814">
        <f>IF(ISNUMBER(((Datos!L10/Datos!K10)*11)/factor_trimestre),((Datos!L10/Datos!K10)*11)/factor_trimestre," - ")</f>
        <v>3.66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66</v>
      </c>
      <c r="G14" s="1085">
        <f t="shared" si="0"/>
        <v>66</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50</v>
      </c>
      <c r="AC14" s="1086">
        <f t="shared" si="1"/>
        <v>0</v>
      </c>
      <c r="AD14" s="1086">
        <f t="shared" si="1"/>
        <v>0</v>
      </c>
      <c r="AE14" s="1086">
        <f t="shared" si="1"/>
        <v>0</v>
      </c>
      <c r="AF14" s="1086">
        <f t="shared" si="1"/>
        <v>61</v>
      </c>
      <c r="AG14" s="1086">
        <f t="shared" si="1"/>
        <v>0</v>
      </c>
      <c r="AH14" s="1086">
        <f t="shared" si="1"/>
        <v>0</v>
      </c>
      <c r="AI14" s="1086">
        <f t="shared" si="1"/>
        <v>0</v>
      </c>
      <c r="AJ14" s="1086">
        <f t="shared" si="1"/>
        <v>0</v>
      </c>
      <c r="AK14" s="1086">
        <f t="shared" si="1"/>
        <v>0</v>
      </c>
      <c r="AL14" s="1086">
        <f t="shared" si="1"/>
        <v>15</v>
      </c>
      <c r="AM14" s="1086">
        <f t="shared" si="1"/>
        <v>26</v>
      </c>
      <c r="AN14" s="1086">
        <f t="shared" si="1"/>
        <v>0</v>
      </c>
      <c r="AO14" s="1086">
        <f t="shared" si="1"/>
        <v>0</v>
      </c>
      <c r="AP14" s="1091">
        <f>IF(ISNUMBER(((Datos!L14/Datos!K14)*11)/factor_trimestre),((Datos!L14/Datos!K14)*11)/factor_trimestre," - ")</f>
        <v>7.5497948526669143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-0.75757575757575757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1.75947622329428</v>
      </c>
      <c r="AQ20" s="1091">
        <f>IF(ISNUMBER(((Datos!M20/Datos!L20)*11)/factor_trimestre),((Datos!M20/Datos!L20)*11)/factor_trimestre," - ")</f>
        <v>0.56756756756756765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0.19806763285024154</v>
      </c>
      <c r="AW20" s="1093">
        <f>IF(ISNUMBER((Datos!Q20-Datos!R20)/(Datos!S20-Datos!Q20+Datos!R20)),(Datos!Q20-Datos!R20)/(Datos!S20-Datos!Q20+Datos!R20)," - ")</f>
        <v>-9.2592592592592587E-2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66</v>
      </c>
      <c r="G21" s="1098">
        <f t="shared" si="4"/>
        <v>66</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50</v>
      </c>
      <c r="AC21" s="1104">
        <f t="shared" si="5"/>
        <v>0</v>
      </c>
      <c r="AD21" s="1104">
        <f t="shared" si="5"/>
        <v>0</v>
      </c>
      <c r="AE21" s="1104">
        <f t="shared" si="5"/>
        <v>0</v>
      </c>
      <c r="AF21" s="1105">
        <f t="shared" si="5"/>
        <v>61</v>
      </c>
      <c r="AG21" s="1105">
        <f t="shared" si="5"/>
        <v>0</v>
      </c>
      <c r="AH21" s="1105">
        <f t="shared" si="5"/>
        <v>0</v>
      </c>
      <c r="AI21" s="1105">
        <f t="shared" si="5"/>
        <v>0</v>
      </c>
      <c r="AJ21" s="1106">
        <f t="shared" si="5"/>
        <v>0</v>
      </c>
      <c r="AK21" s="1106">
        <f t="shared" si="5"/>
        <v>0</v>
      </c>
      <c r="AL21" s="1098">
        <f t="shared" si="5"/>
        <v>15</v>
      </c>
      <c r="AM21" s="1098">
        <f t="shared" si="5"/>
        <v>26</v>
      </c>
      <c r="AN21" s="1098">
        <f t="shared" si="5"/>
        <v>0</v>
      </c>
      <c r="AO21" s="1098">
        <f t="shared" si="5"/>
        <v>0</v>
      </c>
      <c r="AP21" s="1098">
        <f>IF(ISNUMBER(((Datos!L21/Datos!K21)*11)/factor_trimestre),((Datos!L21/Datos!K21)*11)/factor_trimestre," - ")</f>
        <v>4.54003224073079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-0.75757575757575757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4.4583684781298955E-2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2.8284271247461903</v>
      </c>
      <c r="F23" s="870">
        <f>IF(ISNUMBER(STDEV(F8:F20)),STDEV(F8:F20),"-")</f>
        <v>38.105117766515299</v>
      </c>
      <c r="G23" s="871">
        <f>IF(ISNUMBER(STDEV(G8:G20)),STDEV(G8:G20),"-")</f>
        <v>38.105117766515299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8.6602540378443873</v>
      </c>
      <c r="AM23" s="870"/>
      <c r="AN23" s="870">
        <f>IF(ISNUMBER(STDEV(AN8:AN20)),STDEV(AN8:AN20),"-")</f>
        <v>0</v>
      </c>
      <c r="AO23" s="876">
        <f>IF(ISNUMBER(STDEV(AO8:AO20)),STDEV(AO8:AO20),"-")</f>
        <v>0</v>
      </c>
      <c r="AP23" s="923">
        <f>IF(ISNUMBER(STDEV(AP8:AP20)),STDEV(AP8:AP20),"-")</f>
        <v>2.9515612945049274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mP3Kgwcr6y9o+xGsHtWPvHKRLVaTQcWx1Jo9/tj+ILsEodStyK8faQMHtAfbPUcPVP6G8+sQcM/BkQeMVdKFA==" saltValue="m/AjGPEKqnfgKlEw0dXa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JAEN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KgL3GMafokj+2VIFdCx8XB1tjKfMCU/3RFqAWysiCOyEfeDP83kBkIO0bjeOp1/1jl23jRDPqa06KfAWS2H6w==" saltValue="OSrR/naQKStFqY27AqDEe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JAEN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930</v>
      </c>
      <c r="E9" s="416">
        <f t="shared" ref="E9:E14" si="0">IF(ISNUMBER(D9/B9),D9/B9," - ")</f>
        <v>186</v>
      </c>
      <c r="F9" s="415">
        <f>IF(ISNUMBER(Datos!N9),Datos!N9," - ")</f>
        <v>845</v>
      </c>
      <c r="G9" s="416">
        <f t="shared" ref="G9:G14" si="1">IF(ISNUMBER(F9/B9),F9/B9," - ")</f>
        <v>169</v>
      </c>
      <c r="H9" s="415">
        <f>IF(ISNUMBER(Datos!O9),Datos!O9," - ")</f>
        <v>1025</v>
      </c>
      <c r="I9" s="416">
        <f>IF(ISNUMBER(H9/B9),H9/B9," - ")</f>
        <v>205</v>
      </c>
    </row>
    <row r="10" spans="1:9">
      <c r="A10" s="414" t="str">
        <f>Datos!A10</f>
        <v>Jdos. Violencia contra la mujer</v>
      </c>
      <c r="B10" s="444">
        <f>Datos!AO10</f>
        <v>1</v>
      </c>
      <c r="C10" s="422">
        <f>Datos!AQ10</f>
        <v>1</v>
      </c>
      <c r="D10" s="415">
        <f>IF(ISNUMBER(Datos!M10),Datos!M10," - ")</f>
        <v>15</v>
      </c>
      <c r="E10" s="416">
        <f>IF(ISNUMBER(D10/B10),D10/B10," - ")</f>
        <v>15</v>
      </c>
      <c r="F10" s="415">
        <f>IF(ISNUMBER(Datos!N10),Datos!N10," - ")</f>
        <v>26</v>
      </c>
      <c r="G10" s="416">
        <f>IF(ISNUMBER(F10/B10),F10/B10," - ")</f>
        <v>26</v>
      </c>
      <c r="H10" s="415">
        <f>IF(ISNUMBER(Datos!O10),Datos!O10," - ")</f>
        <v>17</v>
      </c>
      <c r="I10" s="416">
        <f t="shared" ref="I10:I13" si="2">IF(ISNUMBER(H10/B10),H10/B10," - ")</f>
        <v>17</v>
      </c>
    </row>
    <row r="11" spans="1:9">
      <c r="A11" s="414" t="str">
        <f>Datos!A11</f>
        <v xml:space="preserve">Jdos. Familia                                   </v>
      </c>
      <c r="B11" s="444">
        <f>Datos!AO11</f>
        <v>1</v>
      </c>
      <c r="C11" s="422">
        <f>Datos!AQ11</f>
        <v>1</v>
      </c>
      <c r="D11" s="415">
        <f>IF(ISNUMBER(Datos!M11),Datos!M11," - ")</f>
        <v>44</v>
      </c>
      <c r="E11" s="416">
        <f t="shared" si="0"/>
        <v>44</v>
      </c>
      <c r="F11" s="415">
        <f>IF(ISNUMBER(Datos!N11),Datos!N11," - ")</f>
        <v>110</v>
      </c>
      <c r="G11" s="416">
        <f t="shared" si="1"/>
        <v>110</v>
      </c>
      <c r="H11" s="415">
        <f>IF(ISNUMBER(Datos!O11),Datos!O11," - ")</f>
        <v>51</v>
      </c>
      <c r="I11" s="416">
        <f t="shared" si="2"/>
        <v>51</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989</v>
      </c>
      <c r="E14" s="997">
        <f t="shared" si="0"/>
        <v>141.28571428571428</v>
      </c>
      <c r="F14" s="996">
        <f>SUBTOTAL(9,F9:F13)</f>
        <v>981</v>
      </c>
      <c r="G14" s="997">
        <f t="shared" si="1"/>
        <v>140.14285714285714</v>
      </c>
      <c r="H14" s="996">
        <f>SUBTOTAL(9,H9:H13)</f>
        <v>1093</v>
      </c>
      <c r="I14" s="997">
        <f>IF(ISNUMBER(H14/B14),H14/B14," - ")</f>
        <v>156.14285714285714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312</v>
      </c>
      <c r="E16" s="416">
        <f t="shared" ref="E16:E20" si="3">IF(ISNUMBER(D16/B16),D16/B16," - ")</f>
        <v>78</v>
      </c>
      <c r="F16" s="415">
        <f>IF(ISNUMBER(Datos!N16),Datos!N16," - ")</f>
        <v>1421</v>
      </c>
      <c r="G16" s="416">
        <f t="shared" ref="G16:G20" si="4">IF(ISNUMBER(F16/B16),F16/B16," - ")</f>
        <v>355.25</v>
      </c>
      <c r="H16" s="415">
        <f>IF(ISNUMBER(Datos!O16),Datos!O16," - ")</f>
        <v>64</v>
      </c>
      <c r="I16" s="416">
        <f t="shared" ref="I16:I19" si="5">IF(ISNUMBER(H16/B16),H16/B16," - ")</f>
        <v>16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10</v>
      </c>
      <c r="E18" s="416">
        <f>IF(ISNUMBER(D18/B18),D18/B18," - ")</f>
        <v>10</v>
      </c>
      <c r="F18" s="415">
        <f>IF(ISNUMBER(Datos!N18),Datos!N18," - ")</f>
        <v>175</v>
      </c>
      <c r="G18" s="416">
        <f>IF(ISNUMBER(F18/B18),F18/B18," - ")</f>
        <v>175</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322</v>
      </c>
      <c r="E20" s="997">
        <f t="shared" si="3"/>
        <v>64.400000000000006</v>
      </c>
      <c r="F20" s="996">
        <f>SUBTOTAL(9,F16:F19)</f>
        <v>1596</v>
      </c>
      <c r="G20" s="997">
        <f t="shared" si="4"/>
        <v>319.2</v>
      </c>
      <c r="H20" s="996">
        <f>SUBTOTAL(9,H16:H19)</f>
        <v>65</v>
      </c>
      <c r="I20" s="997">
        <f>IF(ISNUMBER(H20/B20),H20/B20," - ")</f>
        <v>13</v>
      </c>
    </row>
    <row r="21" spans="1:9" ht="14.25" thickTop="1" thickBot="1">
      <c r="A21" s="940" t="str">
        <f>Datos!A21</f>
        <v>TOTAL JURISDICCIONES</v>
      </c>
      <c r="B21" s="941">
        <f>Datos!AP21</f>
        <v>11</v>
      </c>
      <c r="C21" s="941">
        <f>Datos!AR21</f>
        <v>11</v>
      </c>
      <c r="D21" s="941">
        <f>SUBTOTAL(9,D8:D20)</f>
        <v>1311</v>
      </c>
      <c r="E21" s="942">
        <f>IF(ISNUMBER(D21/B21),D21/B21," - ")</f>
        <v>119.18181818181819</v>
      </c>
      <c r="F21" s="941">
        <f>SUBTOTAL(9,F8:F20)</f>
        <v>2577</v>
      </c>
      <c r="G21" s="942">
        <f>IF(ISNUMBER(F21/B21),F21/B21," - ")</f>
        <v>234.27272727272728</v>
      </c>
      <c r="H21" s="941">
        <f>SUBTOTAL(9,H8:H20)</f>
        <v>1158</v>
      </c>
      <c r="I21" s="942">
        <f>IF(ISNUMBER(H21/B21),H21/B21," - ")</f>
        <v>105.27272727272727</v>
      </c>
    </row>
    <row r="24" spans="1:9">
      <c r="A24" s="403" t="str">
        <f>Criterios!A4</f>
        <v>Fecha Informe: 06 jun. 2023</v>
      </c>
    </row>
    <row r="29" spans="1:9">
      <c r="A29" s="426"/>
    </row>
  </sheetData>
  <sheetProtection algorithmName="SHA-512" hashValue="Vb/1XBzbG/7SUGnGTk23MOyrdLvy+nTp224oUHltvhFKYaTg8z4I6N+mFETlgX6jaMtnEl6hySIkxIOdnfcXUw==" saltValue="xMAPMeVxv6vLUQ1zWNzQ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JAEN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863</v>
      </c>
      <c r="C9" s="451">
        <f>IF(ISNUMBER(Datos!Q9),Datos!Q9," - ")</f>
        <v>567</v>
      </c>
      <c r="D9" s="420">
        <f>IF(ISNUMBER(Datos!R9),Datos!R9," - ")</f>
        <v>7521</v>
      </c>
    </row>
    <row r="10" spans="1:4">
      <c r="A10" s="414" t="str">
        <f>Datos!A10</f>
        <v>Jdos. Violencia contra la mujer</v>
      </c>
      <c r="B10" s="450">
        <f>IF(ISNUMBER(Datos!P10),Datos!P10," - ")</f>
        <v>4</v>
      </c>
      <c r="C10" s="451">
        <f>IF(ISNUMBER(Datos!Q10),Datos!Q10," - ")</f>
        <v>9</v>
      </c>
      <c r="D10" s="420">
        <f>IF(ISNUMBER(Datos!R10),Datos!R10," - ")</f>
        <v>30</v>
      </c>
    </row>
    <row r="11" spans="1:4">
      <c r="A11" s="414" t="str">
        <f>Datos!A11</f>
        <v xml:space="preserve">Jdos. Familia                                   </v>
      </c>
      <c r="B11" s="450">
        <f>IF(ISNUMBER(Datos!P11),Datos!P11," - ")</f>
        <v>46</v>
      </c>
      <c r="C11" s="451">
        <f>IF(ISNUMBER(Datos!Q11),Datos!Q11," - ")</f>
        <v>8</v>
      </c>
      <c r="D11" s="420">
        <f>IF(ISNUMBER(Datos!R11),Datos!R11," - ")</f>
        <v>870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913</v>
      </c>
      <c r="C14" s="1000">
        <f>SUBTOTAL(9,C9:C13)</f>
        <v>584</v>
      </c>
      <c r="D14" s="998">
        <f>SUBTOTAL(9,D9:D13)</f>
        <v>8421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164</v>
      </c>
      <c r="C16" s="451">
        <f>IF(ISNUMBER(Datos!Q16),Datos!Q16," - ")</f>
        <v>120</v>
      </c>
      <c r="D16" s="420">
        <f>IF(ISNUMBER(Datos!R16),Datos!R16," - ")</f>
        <v>248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3</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164</v>
      </c>
      <c r="C20" s="1000">
        <f>SUBTOTAL(9,C16:C19)</f>
        <v>123</v>
      </c>
      <c r="D20" s="998">
        <f>SUBTOTAL(9,D16:D19)</f>
        <v>248</v>
      </c>
    </row>
    <row r="21" spans="1:4" ht="16.5" customHeight="1" thickTop="1" thickBot="1">
      <c r="A21" s="940" t="str">
        <f>Datos!A21</f>
        <v>TOTAL JURISDICCIONES</v>
      </c>
      <c r="B21" s="945">
        <f>SUBTOTAL(9,B8:B20)</f>
        <v>1077</v>
      </c>
      <c r="C21" s="946">
        <f>SUBTOTAL(9,C8:C20)</f>
        <v>707</v>
      </c>
      <c r="D21" s="947">
        <f>SUBTOTAL(9,D8:D20)</f>
        <v>8669</v>
      </c>
    </row>
    <row r="22" spans="1:4" ht="7.5" customHeight="1"/>
    <row r="23" spans="1:4" ht="6" customHeight="1"/>
    <row r="24" spans="1:4">
      <c r="A24" s="403" t="str">
        <f>Criterios!A4</f>
        <v>Fecha Informe: 06 jun. 2023</v>
      </c>
    </row>
    <row r="29" spans="1:4">
      <c r="A29" s="426"/>
    </row>
  </sheetData>
  <sheetProtection algorithmName="SHA-512" hashValue="3EuGZ0baoJFMkHq2F+8l12cwBaM2B5twM2/hfc5kSLY+vMO5uHRksWDFrApLFRmt2dAO8Rhoy/1dSc3g7wXzKg==" saltValue="midQ5MYmB8HB84F1nSXo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JAEN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-0.28505936287763017</v>
      </c>
      <c r="C9" s="473">
        <f>IF(ISNUMBER(
   IF(J_V="SI",(Datos!J9-Datos!T9)/Datos!T9,(Datos!J9+Datos!Z9-(Datos!T9+Datos!AH9))/(Datos!T9+Datos!AH9))
     ),IF(J_V="SI",(Datos!J9-Datos!T9)/Datos!T9,(Datos!J9+Datos!Z9-(Datos!T9+Datos!AH9))/(Datos!T9+Datos!AH9))," - ")</f>
        <v>0.32427937915742794</v>
      </c>
      <c r="D9" s="473">
        <f>IF(ISNUMBER(
   IF(J_V="SI",(Datos!K9-Datos!U9)/Datos!U9,(Datos!K9+Datos!AA9-(Datos!U9+Datos!AI9))/(Datos!U9+Datos!AI9))
     ),IF(J_V="SI",(Datos!K9-Datos!U9)/Datos!U9,(Datos!K9+Datos!AA9-(Datos!U9+Datos!AI9))/(Datos!U9+Datos!AI9))," - ")</f>
        <v>9.9621689785624218E-2</v>
      </c>
      <c r="E9" s="473">
        <f>IF(ISNUMBER(
   IF(J_V="SI",(Datos!L9-Datos!V9)/Datos!V9,(Datos!L9+Datos!AB9-(Datos!V9+Datos!AJ9))/(Datos!V9+Datos!AJ9))
     ),IF(J_V="SI",(Datos!L9-Datos!V9)/Datos!V9,(Datos!L9+Datos!AB9-(Datos!V9+Datos!AJ9))/(Datos!V9+Datos!AJ9))," - ")</f>
        <v>-0.26147830474268413</v>
      </c>
      <c r="F9" s="473">
        <f>IF(ISNUMBER((Datos!M9-Datos!W9)/Datos!W9),(Datos!M9-Datos!W9)/Datos!W9," - ")</f>
        <v>-8.8235294117647065E-2</v>
      </c>
      <c r="G9" s="474">
        <f>IF(ISNUMBER((Datos!N9-Datos!X9)/Datos!X9),(Datos!N9-Datos!X9)/Datos!X9," - ")</f>
        <v>0.35416666666666669</v>
      </c>
      <c r="H9" s="472">
        <f>IF(ISNUMBER(((NºAsuntos!G9/NºAsuntos!E9)-Datos!BD9)/Datos!BD9),((NºAsuntos!G9/NºAsuntos!E9)-Datos!BD9)/Datos!BD9," - ")</f>
        <v>-0.16964523718155461</v>
      </c>
      <c r="I9" s="473">
        <f>IF(ISNUMBER(((NºAsuntos!I9/NºAsuntos!G9)-Datos!BE9)/Datos!BE9),((NºAsuntos!I9/NºAsuntos!G9)-Datos!BE9)/Datos!BE9," - ")</f>
        <v>-0.32838566016163817</v>
      </c>
      <c r="J9" s="478">
        <f>IF(ISNUMBER((('Resol  Asuntos'!D9/NºAsuntos!G9)-Datos!BF9)/Datos!BF9),(('Resol  Asuntos'!D9/NºAsuntos!G9)-Datos!BF9)/Datos!BF9," - ")</f>
        <v>0.35536123853210994</v>
      </c>
      <c r="K9" s="479">
        <f>IF(ISNUMBER((((NºAsuntos!C9+NºAsuntos!E9)/NºAsuntos!G9)-Datos!BG9)/Datos!BG9),(((NºAsuntos!C9+NºAsuntos!E9)/NºAsuntos!G9)-Datos!BG9)/Datos!BG9," - ")</f>
        <v>-0.25287959594233994</v>
      </c>
    </row>
    <row r="10" spans="1:11">
      <c r="A10" s="414" t="str">
        <f>Datos!A10</f>
        <v>Jdos. Violencia contra la mujer</v>
      </c>
      <c r="B10" s="472">
        <f>IF(ISNUMBER((Datos!I10-Datos!S10)/Datos!S10),(Datos!I10-Datos!S10)/Datos!S10," - ")</f>
        <v>0.5</v>
      </c>
      <c r="C10" s="473">
        <f>IF(ISNUMBER((Datos!J10-Datos!T10)/Datos!T10),(Datos!J10-Datos!T10)/Datos!T10," - ")</f>
        <v>0.40625</v>
      </c>
      <c r="D10" s="473">
        <f>IF(ISNUMBER((Datos!K10-Datos!U10)/Datos!U10),(Datos!K10-Datos!U10)/Datos!U10," - ")</f>
        <v>0.31578947368421051</v>
      </c>
      <c r="E10" s="473">
        <f>IF(ISNUMBER((Datos!L10-Datos!V10)/Datos!V10),(Datos!L10-Datos!V10)/Datos!V10," - ")</f>
        <v>0.60526315789473684</v>
      </c>
      <c r="F10" s="473">
        <f>IF(ISNUMBER((Datos!M10-Datos!W10)/Datos!W10),(Datos!M10-Datos!W10)/Datos!W10," - ")</f>
        <v>0.15384615384615385</v>
      </c>
      <c r="G10" s="474">
        <f>IF(ISNUMBER((Datos!N10-Datos!X10)/Datos!X10),(Datos!N10-Datos!X10)/Datos!X10," - ")</f>
        <v>0.36842105263157893</v>
      </c>
      <c r="H10" s="472">
        <f>IF(ISNUMBER(((NºAsuntos!G10/NºAsuntos!E10)-Datos!BD10)/Datos!BD10),((NºAsuntos!G10/NºAsuntos!E10)-Datos!BD10)/Datos!BD10," - ")</f>
        <v>-6.4327485380116914E-2</v>
      </c>
      <c r="I10" s="473">
        <f>IF(ISNUMBER(((NºAsuntos!I10/NºAsuntos!G10)-Datos!BE10)/Datos!BE10),((NºAsuntos!I10/NºAsuntos!G10)-Datos!BE10)/Datos!BE10," - ")</f>
        <v>0.21999999999999997</v>
      </c>
      <c r="J10" s="478">
        <f>IF(ISNUMBER((('Resol  Asuntos'!D10/NºAsuntos!G10)-Datos!BF10)/Datos!BF10),(('Resol  Asuntos'!D10/NºAsuntos!G10)-Datos!BF10)/Datos!BF10," - ")</f>
        <v>-0.12307692307692313</v>
      </c>
      <c r="K10" s="479">
        <f>IF(ISNUMBER((((NºAsuntos!C10+NºAsuntos!E10)/NºAsuntos!G10)-Datos!BG10)/Datos!BG10),(((NºAsuntos!C10+NºAsuntos!E10)/NºAsuntos!G10)-Datos!BG10)/Datos!BG10," - ")</f>
        <v>0.1100000000000001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-5.6672760511882997E-2</v>
      </c>
      <c r="C11" s="473">
        <f>IF(ISNUMBER(
   IF(J_V="SI",(Datos!J11-Datos!T11)/Datos!T11,(Datos!J11+Datos!Z11-(Datos!T11+Datos!AH11))/(Datos!T11+Datos!AH11))
     ),IF(J_V="SI",(Datos!J11-Datos!T11)/Datos!T11,(Datos!J11+Datos!Z11-(Datos!T11+Datos!AH11))/(Datos!T11+Datos!AH11))," - ")</f>
        <v>-8.6206896551724137E-3</v>
      </c>
      <c r="D11" s="473">
        <f>IF(ISNUMBER(
   IF(J_V="SI",(Datos!K11-Datos!U11)/Datos!U11,(Datos!K11+Datos!AA11-(Datos!U11+Datos!AI11))/(Datos!U11+Datos!AI11))
     ),IF(J_V="SI",(Datos!K11-Datos!U11)/Datos!U11,(Datos!K11+Datos!AA11-(Datos!U11+Datos!AI11))/(Datos!U11+Datos!AI11))," - ")</f>
        <v>-0.56415929203539827</v>
      </c>
      <c r="E11" s="473">
        <f>IF(ISNUMBER(
   IF(J_V="SI",(Datos!L11-Datos!V11)/Datos!V11,(Datos!L11+Datos!AB11-(Datos!V11+Datos!AJ11))/(Datos!V11+Datos!AJ11))
     ),IF(J_V="SI",(Datos!L11-Datos!V11)/Datos!V11,(Datos!L11+Datos!AB11-(Datos!V11+Datos!AJ11))/(Datos!V11+Datos!AJ11))," - ")</f>
        <v>0.17727272727272728</v>
      </c>
      <c r="F11" s="473">
        <f>IF(ISNUMBER((Datos!M11-Datos!W11)/Datos!W11),(Datos!M11-Datos!W11)/Datos!W11," - ")</f>
        <v>-0.73964497041420119</v>
      </c>
      <c r="G11" s="474">
        <f>IF(ISNUMBER((Datos!N11-Datos!X11)/Datos!X11),(Datos!N11-Datos!X11)/Datos!X11," - ")</f>
        <v>-0.44723618090452261</v>
      </c>
      <c r="H11" s="472">
        <f>IF(ISNUMBER(((NºAsuntos!G11/NºAsuntos!E11)-Datos!BD11)/Datos!BD11),((NºAsuntos!G11/NºAsuntos!E11)-Datos!BD11)/Datos!BD11," - ")</f>
        <v>-0.56036937283570609</v>
      </c>
      <c r="I11" s="473">
        <f>IF(ISNUMBER(((NºAsuntos!I11/NºAsuntos!G11)-Datos!BE11)/Datos!BE11),((NºAsuntos!I11/NºAsuntos!G11)-Datos!BE11)/Datos!BE11," - ")</f>
        <v>1.7011536686663591</v>
      </c>
      <c r="J11" s="478">
        <f>IF(ISNUMBER((('Resol  Asuntos'!D11/NºAsuntos!G11)-Datos!BF11)/Datos!BF11),(('Resol  Asuntos'!D11/NºAsuntos!G11)-Datos!BF11)/Datos!BF11," - ")</f>
        <v>-0.4926918858250644</v>
      </c>
      <c r="K11" s="479">
        <f>IF(ISNUMBER((((NºAsuntos!C11+NºAsuntos!E11)/NºAsuntos!G11)-Datos!BG11)/Datos!BG11),(((NºAsuntos!C11+NºAsuntos!E11)/NºAsuntos!G11)-Datos!BG11)/Datos!BG11," - ")</f>
        <v>1.197220176850446</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-0.25557283566614825</v>
      </c>
      <c r="C14" s="1002">
        <f>IF(ISNUMBER(
   IF(J_V="SI",(Datos!J14-Datos!T14)/Datos!T14,(Datos!J14+Datos!Z14-(Datos!T14+Datos!AH14))/(Datos!T14+Datos!AH14))
     ),IF(J_V="SI",(Datos!J14-Datos!T14)/Datos!T14,(Datos!J14+Datos!Z14-(Datos!T14+Datos!AH14))/(Datos!T14+Datos!AH14))," - ")</f>
        <v>0.25826086956521738</v>
      </c>
      <c r="D14" s="1002">
        <f>IF(ISNUMBER(
   IF(J_V="SI",(Datos!K14-Datos!U14)/Datos!U14,(Datos!K14+Datos!AA14-(Datos!U14+Datos!AI14))/(Datos!U14+Datos!AI14))
     ),IF(J_V="SI",(Datos!K14-Datos!U14)/Datos!U14,(Datos!K14+Datos!AA14-(Datos!U14+Datos!AI14))/(Datos!U14+Datos!AI14))," - ")</f>
        <v>-2.0913210177762286E-3</v>
      </c>
      <c r="E14" s="1002">
        <f>IF(ISNUMBER(
   IF(J_V="SI",(Datos!L14-Datos!V14)/Datos!V14,(Datos!L14+Datos!AB14-(Datos!V14+Datos!AJ14))/(Datos!V14+Datos!AJ14))
     ),IF(J_V="SI",(Datos!L14-Datos!V14)/Datos!V14,(Datos!L14+Datos!AB14-(Datos!V14+Datos!AJ14))/(Datos!V14+Datos!AJ14))," - ")</f>
        <v>-0.20461063313478933</v>
      </c>
      <c r="F14" s="1003">
        <f>IF(ISNUMBER((Datos!M14-Datos!W14)/Datos!W14),(Datos!M14-Datos!W14)/Datos!W14," - ")</f>
        <v>-0.17720465890183029</v>
      </c>
      <c r="G14" s="1004">
        <f>IF(ISNUMBER((Datos!N14-Datos!X14)/Datos!X14),(Datos!N14-Datos!X14)/Datos!X14," - ")</f>
        <v>0.16508313539192399</v>
      </c>
      <c r="H14" s="1004">
        <f>IF(ISNUMBER(((NºAsuntos!G14/NºAsuntos!E14)-Datos!BD14)/Datos!BD14),((NºAsuntos!G14/NºAsuntos!E14)-Datos!BD14)/Datos!BD14," - ")</f>
        <v>-0.20691431870797702</v>
      </c>
      <c r="I14" s="1004">
        <f>IF(ISNUMBER(((NºAsuntos!I14/NºAsuntos!G14)-Datos!BE14)/Datos!BE14),((NºAsuntos!I14/NºAsuntos!G14)-Datos!BE14)/Datos!BE14," - ")</f>
        <v>-0.20294373261044721</v>
      </c>
      <c r="J14" s="1004">
        <f>IF(ISNUMBER((('Resol  Asuntos'!D14/NºAsuntos!G14)-Datos!BF14)/Datos!BF14),(('Resol  Asuntos'!D14/NºAsuntos!G14)-Datos!BF14)/Datos!BF14," - ")</f>
        <v>0.18549360175277044</v>
      </c>
      <c r="K14" s="1004">
        <f>IF(ISNUMBER((((NºAsuntos!C14+NºAsuntos!E14)/NºAsuntos!G14)-Datos!BG14)/Datos!BG14),(((NºAsuntos!C14+NºAsuntos!E14)/NºAsuntos!G14)-Datos!BG14)/Datos!BG14," - ")</f>
        <v>-0.15486713100429592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0.33696639418710261</v>
      </c>
      <c r="C16" s="473">
        <f>IF(ISNUMBER(
   IF(D_I="SI",(Datos!J16-Datos!T16)/Datos!T16,(Datos!J16+Datos!AD16-(Datos!T16+Datos!AL16))/(Datos!T16+Datos!AL16))
     ),IF(D_I="SI",(Datos!J16-Datos!T16)/Datos!T16,(Datos!J16+Datos!AD16-(Datos!T16+Datos!AL16))/(Datos!T16+Datos!AL16))," - ")</f>
        <v>0.10360547036883548</v>
      </c>
      <c r="D16" s="473">
        <f>IF(ISNUMBER(
   IF(D_I="SI",(Datos!K16-Datos!U16)/Datos!U16,(Datos!K16+Datos!AE16-(Datos!U16+Datos!AM16))/(Datos!U16+Datos!AM16))
     ),IF(D_I="SI",(Datos!K16-Datos!U16)/Datos!U16,(Datos!K16+Datos!AE16-(Datos!U16+Datos!AM16))/(Datos!U16+Datos!AM16))," - ")</f>
        <v>5.8252427184466021E-2</v>
      </c>
      <c r="E16" s="473">
        <f>IF(ISNUMBER(
   IF(D_I="SI",(Datos!L16-Datos!V16)/Datos!V16,(Datos!L16+Datos!AF16-(Datos!V16+Datos!AN16))/(Datos!V16+Datos!AN16))
     ),IF(D_I="SI",(Datos!L16-Datos!V16)/Datos!V16,(Datos!L16+Datos!AF16-(Datos!V16+Datos!AN16))/(Datos!V16+Datos!AN16))," - ")</f>
        <v>0.42343173431734316</v>
      </c>
      <c r="F16" s="473">
        <f>IF(ISNUMBER((Datos!M16-Datos!W16)/Datos!W16),(Datos!M16-Datos!W16)/Datos!W16," - ")</f>
        <v>7.2164948453608241E-2</v>
      </c>
      <c r="G16" s="474">
        <f>IF(ISNUMBER((Datos!N16-Datos!X16)/Datos!X16),(Datos!N16-Datos!X16)/Datos!X16," - ")</f>
        <v>-2.0675396278428671E-2</v>
      </c>
      <c r="H16" s="472">
        <f>IF(ISNUMBER(((NºAsuntos!G16/NºAsuntos!E16)-Datos!BD16)/Datos!BD16),((NºAsuntos!G16/NºAsuntos!E16)-Datos!BD16)/Datos!BD16," - ")</f>
        <v>-4.1095341045393641E-2</v>
      </c>
      <c r="I16" s="473">
        <f>IF(ISNUMBER(((NºAsuntos!I16/NºAsuntos!G16)-Datos!BE16)/Datos!BE16),((NºAsuntos!I16/NºAsuntos!G16)-Datos!BE16)/Datos!BE16," - ")</f>
        <v>0.34507769389620491</v>
      </c>
      <c r="J16" s="478">
        <f>IF(ISNUMBER((('Resol  Asuntos'!D16/NºAsuntos!G16)-Datos!BF16)/Datos!BF16),(('Resol  Asuntos'!D16/NºAsuntos!G16)-Datos!BF16)/Datos!BF16," - ")</f>
        <v>1.3146694410290391E-2</v>
      </c>
      <c r="K16" s="479">
        <f>IF(ISNUMBER((((NºAsuntos!C16+NºAsuntos!E16)/NºAsuntos!G16)-Datos!BG16)/Datos!BG16),(((NºAsuntos!C16+NºAsuntos!E16)/NºAsuntos!G16)-Datos!BG16)/Datos!BG16," - ")</f>
        <v>0.11194801397294174</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v>
      </c>
      <c r="C18" s="473">
        <f>IF(ISNUMBER(
   IF(D_I="SI",(Datos!J18-Datos!T18)/Datos!T18,(Datos!J18+Datos!AD18-(Datos!T18+Datos!AL18))/(Datos!T18+Datos!AL18))
     ),IF(D_I="SI",(Datos!J18-Datos!T18)/Datos!T18,(Datos!J18+Datos!AD18-(Datos!T18+Datos!AL18))/(Datos!T18+Datos!AL18))," - ")</f>
        <v>0.125</v>
      </c>
      <c r="D18" s="473">
        <f>IF(ISNUMBER(
   IF(D_I="SI",(Datos!K18-Datos!U18)/Datos!U18,(Datos!K18+Datos!AE18-(Datos!U18+Datos!AM18))/(Datos!U18+Datos!AM18))
     ),IF(D_I="SI",(Datos!K18-Datos!U18)/Datos!U18,(Datos!K18+Datos!AE18-(Datos!U18+Datos!AM18))/(Datos!U18+Datos!AM18))," - ")</f>
        <v>5.5350553505535055E-2</v>
      </c>
      <c r="E18" s="473">
        <f>IF(ISNUMBER(
   IF(D_I="SI",(Datos!L18-Datos!V18)/Datos!V18,(Datos!L18+Datos!AF18-(Datos!V18+Datos!AN18))/(Datos!V18+Datos!AN18))
     ),IF(D_I="SI",(Datos!L18-Datos!V18)/Datos!V18,(Datos!L18+Datos!AF18-(Datos!V18+Datos!AN18))/(Datos!V18+Datos!AN18))," - ")</f>
        <v>0.45871559633027525</v>
      </c>
      <c r="F18" s="473">
        <f>IF(ISNUMBER((Datos!M18-Datos!W18)/Datos!W18),(Datos!M18-Datos!W18)/Datos!W18," - ")</f>
        <v>0.66666666666666663</v>
      </c>
      <c r="G18" s="474">
        <f>IF(ISNUMBER((Datos!N18-Datos!X18)/Datos!X18),(Datos!N18-Datos!X18)/Datos!X18," - ")</f>
        <v>0</v>
      </c>
      <c r="H18" s="472">
        <f>IF(ISNUMBER(((NºAsuntos!G18/NºAsuntos!E18)-Datos!BD18)/Datos!BD18),((NºAsuntos!G18/NºAsuntos!E18)-Datos!BD18)/Datos!BD18," - ")</f>
        <v>-6.1910619106191035E-2</v>
      </c>
      <c r="I18" s="473">
        <f>IF(ISNUMBER(((NºAsuntos!I18/NºAsuntos!G18)-Datos!BE18)/Datos!BE18),((NºAsuntos!I18/NºAsuntos!G18)-Datos!BE18)/Datos!BE18," - ")</f>
        <v>0.38220953358568038</v>
      </c>
      <c r="J18" s="478">
        <f>IF(ISNUMBER((('Resol  Asuntos'!D18/NºAsuntos!G18)-Datos!BF18)/Datos!BF18),(('Resol  Asuntos'!D18/NºAsuntos!G18)-Datos!BF18)/Datos!BF18," - ")</f>
        <v>0.57925407925407946</v>
      </c>
      <c r="K18" s="479">
        <f>IF(ISNUMBER((((NºAsuntos!C18+NºAsuntos!E18)/NºAsuntos!G18)-Datos!BG18)/Datos!BG18),(((NºAsuntos!C18+NºAsuntos!E18)/NºAsuntos!G18)-Datos!BG18)/Datos!BG18," - ")</f>
        <v>0.10464666912035325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0.32816326530612244</v>
      </c>
      <c r="C20" s="1002">
        <f>IF(ISNUMBER(
   IF(Criterios!B14="SI",(Datos!J20-Datos!T20)/Datos!T20,(Datos!J20+Datos!AD20-(Datos!T20+Datos!AL20))/(Datos!T20+Datos!AL20))
     ),IF(Criterios!B14="SI",(Datos!J20-Datos!T20)/Datos!T20,(Datos!J20+Datos!AD20-(Datos!T20+Datos!AL20))/(Datos!T20+Datos!AL20))," - ")</f>
        <v>0.10565754964406145</v>
      </c>
      <c r="D20" s="1002">
        <f>IF(ISNUMBER(
   IF(Criterios!B14="SI",(Datos!K20-Datos!U20)/Datos!U20,(Datos!K20+Datos!AE20-(Datos!U20+Datos!AM20))/(Datos!U20+Datos!AM20))
     ),IF(Criterios!B14="SI",(Datos!K20-Datos!U20)/Datos!U20,(Datos!K20+Datos!AE20-(Datos!U20+Datos!AM20))/(Datos!U20+Datos!AM20))," - ")</f>
        <v>5.7965730951512945E-2</v>
      </c>
      <c r="E20" s="1002">
        <f>IF(ISNUMBER(
   IF(Criterios!B14="SI",(Datos!L20-Datos!V20)/Datos!V20,(Datos!L20+Datos!AF20-(Datos!V20+Datos!AN20))/(Datos!V20+Datos!AN20))
     ),IF(Criterios!B14="SI",(Datos!L20-Datos!V20)/Datos!V20,(Datos!L20+Datos!AF20-(Datos!V20+Datos!AN20))/(Datos!V20+Datos!AN20))," - ")</f>
        <v>0.42665549036043587</v>
      </c>
      <c r="F20" s="1003">
        <f>IF(ISNUMBER((Datos!M20-Datos!W20)/Datos!W20),(Datos!M20-Datos!W20)/Datos!W20," - ")</f>
        <v>8.4175084175084181E-2</v>
      </c>
      <c r="G20" s="1004">
        <f>IF(ISNUMBER((Datos!N20-Datos!X20)/Datos!X20),(Datos!N20-Datos!X20)/Datos!X20," - ")</f>
        <v>-1.8450184501845018E-2</v>
      </c>
      <c r="H20" s="1004">
        <f>IF(ISNUMBER(((NºAsuntos!G20/NºAsuntos!E20)-Datos!BD20)/Datos!BD20),((NºAsuntos!G20/NºAsuntos!E20)-Datos!BD20)/Datos!BD20," - ")</f>
        <v>-4.3134349064863464E-2</v>
      </c>
      <c r="I20" s="1004">
        <f>IF(ISNUMBER(((NºAsuntos!I20/NºAsuntos!G20)-Datos!BE20)/Datos!BE20),((NºAsuntos!I20/NºAsuntos!G20)-Datos!BE20)/Datos!BE20," - ")</f>
        <v>0.34848932117804116</v>
      </c>
      <c r="J20" s="1004">
        <f>IF(ISNUMBER((('Resol  Asuntos'!D20/NºAsuntos!G20)-Datos!BF20)/Datos!BF20),(('Resol  Asuntos'!D20/NºAsuntos!G20)-Datos!BF20)/Datos!BF20," - ")</f>
        <v>2.4773347998709776E-2</v>
      </c>
      <c r="K20" s="1004">
        <f>IF(ISNUMBER((((NºAsuntos!C20+NºAsuntos!E20)/NºAsuntos!G20)-Datos!BG20)/Datos!BG20),(((NºAsuntos!C20+NºAsuntos!E20)/NºAsuntos!G20)-Datos!BG20)/Datos!BG20," - ")</f>
        <v>0.1112409591599865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-0.18978840846366146</v>
      </c>
      <c r="C21" s="949">
        <f>IF(ISNUMBER(
   IF(J_V="SI",(Datos!J21-Datos!T21)/Datos!T21,(Datos!J21+Datos!Z21-(Datos!T21+Datos!AH21))/(Datos!T21+Datos!AH21))
     ),IF(J_V="SI",(Datos!J21-Datos!T21)/Datos!T21,(Datos!J21+Datos!Z21-(Datos!T21+Datos!AH21))/(Datos!T21+Datos!AH21))," - ")</f>
        <v>0.17629301670356209</v>
      </c>
      <c r="D21" s="949">
        <f>IF(ISNUMBER(
   IF(J_V="SI",(Datos!K21-Datos!U21)/Datos!U21,(Datos!K21+Datos!AA21-(Datos!U21+Datos!AI21))/(Datos!U21+Datos!AI21))
     ),IF(J_V="SI",(Datos!K21-Datos!U21)/Datos!U21,(Datos!K21+Datos!AA21-(Datos!U21+Datos!AI21))/(Datos!U21+Datos!AI21))," - ")</f>
        <v>2.7263007840342125E-2</v>
      </c>
      <c r="E21" s="949">
        <f>IF(ISNUMBER(
   IF(J_V="SI",(Datos!L21-Datos!V21)/Datos!V21,(Datos!L21+Datos!AB21-(Datos!V21+Datos!AJ21))/(Datos!V21+Datos!AJ21))
     ),IF(J_V="SI",(Datos!L21-Datos!V21)/Datos!V21,(Datos!L21+Datos!AB21-(Datos!V21+Datos!AJ21))/(Datos!V21+Datos!AJ21))," - ")</f>
        <v>-0.13120187152743931</v>
      </c>
      <c r="F21" s="950">
        <f>IF(ISNUMBER((Datos!M21-Datos!W21)/Datos!W21),(Datos!M21-Datos!W21)/Datos!W21," - ")</f>
        <v>-0.12541694462975317</v>
      </c>
      <c r="G21" s="951">
        <f>IF(ISNUMBER((Datos!N21-Datos!X21)/Datos!X21),(Datos!N21-Datos!X21)/Datos!X21," - ")</f>
        <v>4.4165316045380876E-2</v>
      </c>
      <c r="H21" s="952">
        <f>IF(ISNUMBER((Tasas!B21-Datos!BD21)/Datos!BD21),(Tasas!B21-Datos!BD21)/Datos!BD21," - ")</f>
        <v>-0.12669463028936526</v>
      </c>
      <c r="I21" s="953">
        <f>IF(ISNUMBER((Tasas!C21-Datos!BE21)/Datos!BE21),(Tasas!C21-Datos!BE21)/Datos!BE21," - ")</f>
        <v>-0.15425930668031038</v>
      </c>
      <c r="J21" s="954">
        <f>IF(ISNUMBER((Tasas!D21-Datos!BF21)/Datos!BF21),(Tasas!D21-Datos!BF21)/Datos!BF21," - ")</f>
        <v>0.12639608557896859</v>
      </c>
      <c r="K21" s="954">
        <f>IF(ISNUMBER((Tasas!E21-Datos!BG21)/Datos!BG21),(Tasas!E21-Datos!BG21)/Datos!BG21," - ")</f>
        <v>-9.9492152359001482E-2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ztkLyqu7LuHhh+ZYxVUY5GV9VeQoIfxF5xs2m00i5zk/bnQL7j23WKQFZ97q7uJ9XEx9L5aMF+iosZIMm77g==" saltValue="e2FRDMuqye2YNHJooneAi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JAEN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1.0950188363331939</v>
      </c>
      <c r="C9" s="460">
        <f>IF(ISNUMBER(NºAsuntos!I9/NºAsuntos!G9),NºAsuntos!I9/NºAsuntos!G9," - ")</f>
        <v>2.2381498470948014</v>
      </c>
      <c r="D9" s="461">
        <f>IF(ISNUMBER('Resol  Asuntos'!D9/NºAsuntos!G9),'Resol  Asuntos'!D9/NºAsuntos!G9," - ")</f>
        <v>0.35550458715596328</v>
      </c>
      <c r="E9" s="462">
        <f>IF(ISNUMBER((NºAsuntos!C9+NºAsuntos!E9)/NºAsuntos!G9),(NºAsuntos!C9+NºAsuntos!E9)/NºAsuntos!G9," - ")</f>
        <v>3.2381498470948014</v>
      </c>
      <c r="G9" s="480"/>
    </row>
    <row r="10" spans="1:7">
      <c r="A10" s="414" t="str">
        <f>Datos!A10</f>
        <v>Jdos. Violencia contra la mujer</v>
      </c>
      <c r="B10" s="459">
        <f>IF(ISNUMBER(NºAsuntos!G10/NºAsuntos!E10),NºAsuntos!G10/NºAsuntos!E10," - ")</f>
        <v>1.1111111111111112</v>
      </c>
      <c r="C10" s="460">
        <f>IF(ISNUMBER(NºAsuntos!I10/NºAsuntos!G10),NºAsuntos!I10/NºAsuntos!G10," - ")</f>
        <v>1.22</v>
      </c>
      <c r="D10" s="461">
        <f>IF(ISNUMBER('Resol  Asuntos'!D10/NºAsuntos!G10),'Resol  Asuntos'!D10/NºAsuntos!G10," - ")</f>
        <v>0.3</v>
      </c>
      <c r="E10" s="462">
        <f>IF(ISNUMBER((NºAsuntos!C10+NºAsuntos!E10)/NºAsuntos!G10),(NºAsuntos!C10+NºAsuntos!E10)/NºAsuntos!G10," - ")</f>
        <v>2.2200000000000002</v>
      </c>
      <c r="G10" s="480"/>
    </row>
    <row r="11" spans="1:7">
      <c r="A11" s="414" t="str">
        <f>Datos!A11</f>
        <v xml:space="preserve">Jdos. Familia                                   </v>
      </c>
      <c r="B11" s="459">
        <f>IF(ISNUMBER(NºAsuntos!G11/NºAsuntos!E11),NºAsuntos!G11/NºAsuntos!E11," - ")</f>
        <v>0.42826086956521742</v>
      </c>
      <c r="C11" s="460">
        <f>IF(ISNUMBER(NºAsuntos!I11/NºAsuntos!G11),NºAsuntos!I11/NºAsuntos!G11," - ")</f>
        <v>6.5736040609137056</v>
      </c>
      <c r="D11" s="461">
        <f>IF(ISNUMBER('Resol  Asuntos'!D11/NºAsuntos!G11),'Resol  Asuntos'!D11/NºAsuntos!G11," - ")</f>
        <v>0.2233502538071066</v>
      </c>
      <c r="E11" s="462">
        <f>IF(ISNUMBER((NºAsuntos!C11+NºAsuntos!E11)/NºAsuntos!G11),(NºAsuntos!C11+NºAsuntos!E11)/NºAsuntos!G11," - ")</f>
        <v>7.5736040609137056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0.9892881824464409</v>
      </c>
      <c r="C14" s="1006">
        <f>IF(ISNUMBER(NºAsuntos!I14/NºAsuntos!G14),NºAsuntos!I14/NºAsuntos!G14," - ")</f>
        <v>2.5186866922808244</v>
      </c>
      <c r="D14" s="1007">
        <f>IF(ISNUMBER('Resol  Asuntos'!D14/NºAsuntos!G14),'Resol  Asuntos'!D14/NºAsuntos!G14," - ")</f>
        <v>0.34544184421935031</v>
      </c>
      <c r="E14" s="1008">
        <f>IF(ISNUMBER((NºAsuntos!C14+NºAsuntos!E14)/NºAsuntos!G14),(NºAsuntos!C14+NºAsuntos!E14)/NºAsuntos!G14," - ")</f>
        <v>3.5186866922808244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0.98235073225685321</v>
      </c>
      <c r="C16" s="460">
        <f>IF(ISNUMBER(NºAsuntos!I16/NºAsuntos!G16),NºAsuntos!I16/NºAsuntos!G16," - ")</f>
        <v>0.58983180428134552</v>
      </c>
      <c r="D16" s="461">
        <f>IF(ISNUMBER('Resol  Asuntos'!D16/NºAsuntos!G16),'Resol  Asuntos'!D16/NºAsuntos!G16," - ")</f>
        <v>0.11926605504587157</v>
      </c>
      <c r="E16" s="462">
        <f>IF(ISNUMBER((NºAsuntos!C16+NºAsuntos!E16)/NºAsuntos!G16),(NºAsuntos!C16+NºAsuntos!E16)/NºAsuntos!G16," - ")</f>
        <v>1.5806574923547401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0.99305555555555558</v>
      </c>
      <c r="C18" s="460">
        <f>IF(ISNUMBER(NºAsuntos!I18/NºAsuntos!G18),NºAsuntos!I18/NºAsuntos!G18," - ")</f>
        <v>0.55594405594405594</v>
      </c>
      <c r="D18" s="461">
        <f>IF(ISNUMBER('Resol  Asuntos'!D18/NºAsuntos!G18),'Resol  Asuntos'!D18/NºAsuntos!G18," - ")</f>
        <v>3.4965034965034968E-2</v>
      </c>
      <c r="E18" s="462">
        <f>IF(ISNUMBER((NºAsuntos!C18+NºAsuntos!E18)/NºAsuntos!G18),(NºAsuntos!C18+NºAsuntos!E18)/NºAsuntos!G18," - ")</f>
        <v>1.548951048951049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0.98339545916638427</v>
      </c>
      <c r="C20" s="1006">
        <f>IF(ISNUMBER(NºAsuntos!I20/NºAsuntos!G20),NºAsuntos!I20/NºAsuntos!G20," - ")</f>
        <v>0.58649207443142659</v>
      </c>
      <c r="D20" s="1009">
        <f>IF(ISNUMBER('Resol  Asuntos'!D20/NºAsuntos!G20),'Resol  Asuntos'!D20/NºAsuntos!G20," - ")</f>
        <v>0.11095796002756719</v>
      </c>
      <c r="E20" s="1008">
        <f>IF(ISNUMBER((NºAsuntos!C20+NºAsuntos!E20)/NºAsuntos!G20),(NºAsuntos!C20+NºAsuntos!E20)/NºAsuntos!G20," - ")</f>
        <v>1.5775327360441076</v>
      </c>
      <c r="G20" s="480"/>
    </row>
    <row r="21" spans="1:7" ht="15.75" customHeight="1" thickTop="1" thickBot="1">
      <c r="A21" s="940" t="str">
        <f>Datos!A21</f>
        <v>TOTAL JURISDICCIONES</v>
      </c>
      <c r="B21" s="955">
        <f>IF(ISNUMBER(NºAsuntos!G21/NºAsuntos!E21),NºAsuntos!G21/NºAsuntos!E21," - ")</f>
        <v>0.98631308810949525</v>
      </c>
      <c r="C21" s="956">
        <f>IF(ISNUMBER(NºAsuntos!I21/NºAsuntos!G21),NºAsuntos!I21/NºAsuntos!G21," - ")</f>
        <v>1.5460537727666956</v>
      </c>
      <c r="D21" s="957">
        <f>IF(ISNUMBER('Resol  Asuntos'!D21/NºAsuntos!G21),'Resol  Asuntos'!D21/NºAsuntos!G21," - ")</f>
        <v>0.22740676496097137</v>
      </c>
      <c r="E21" s="958">
        <f>IF(ISNUMBER((NºAsuntos!C21+NºAsuntos!E21)/NºAsuntos!G21),(NºAsuntos!C21+NºAsuntos!E21)/NºAsuntos!G21," - ")</f>
        <v>2.5415437987857761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60whyu1Mp8HEcWfZ3pQG2dwsu7I/tLkyS5XlFHWDBnXNbFWjJnnhUTNLv9Ubz2dpVfwIDL0foF9wCWzJQ++Zg==" saltValue="ljU3Gr1DJAsifP5zbYhO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JAEN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863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567</v>
      </c>
      <c r="Y9" s="344">
        <f>SUM(W9:X9)</f>
        <v>567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7521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930</v>
      </c>
      <c r="AJ9" s="234" t="str">
        <f>IF(ISNUMBER(Datos!BW9),Datos!BW9," - ")</f>
        <v xml:space="preserve"> - </v>
      </c>
      <c r="AK9" s="233" t="str">
        <f>IF(ISNUMBER(Datos!BX9),Datos!BX9," - ")</f>
        <v xml:space="preserve"> - </v>
      </c>
      <c r="AL9" s="248">
        <f>IF(ISNUMBER(NºAsuntos!G9/NºAsuntos!E9),NºAsuntos!G9/NºAsuntos!E9," - ")</f>
        <v>1.0950188363331939</v>
      </c>
      <c r="AM9" s="265">
        <f>IF(ISNUMBER(((NºAsuntos!I9/NºAsuntos!G9)*11)/factor_trimestre),((NºAsuntos!I9/NºAsuntos!G9)*11)/factor_trimestre," - ")</f>
        <v>6.7144495412844041</v>
      </c>
      <c r="AN9" s="249">
        <f>IF(ISNUMBER('Resol  Asuntos'!D9/NºAsuntos!G9),'Resol  Asuntos'!D9/NºAsuntos!G9," - ")</f>
        <v>0.35550458715596328</v>
      </c>
      <c r="AO9" s="250">
        <f>IF(ISNUMBER((NºAsuntos!C9+NºAsuntos!E9)/NºAsuntos!G9),(NºAsuntos!C9+NºAsuntos!E9)/NºAsuntos!G9," - ")</f>
        <v>3.2381498470948014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66</v>
      </c>
      <c r="G10" s="343">
        <f>IF(ISNUMBER(Datos!I10),Datos!I10," - ")</f>
        <v>66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50</v>
      </c>
      <c r="X10" s="231">
        <f>IF(ISNUMBER(Datos!Q10),Datos!Q10," - ")</f>
        <v>9</v>
      </c>
      <c r="Y10" s="344">
        <f t="shared" ref="Y10:Y13" si="0">SUM(W10:X10)</f>
        <v>59</v>
      </c>
      <c r="Z10" s="345" t="str">
        <f>IF(ISNUMBER(Datos!CC10),Datos!CC10," - ")</f>
        <v xml:space="preserve"> - </v>
      </c>
      <c r="AA10" s="342">
        <f>IF(ISNUMBER(Datos!L10),Datos!L10,"-")</f>
        <v>61</v>
      </c>
      <c r="AB10" s="344">
        <f>IF(ISNUMBER(Datos!R10),Datos!R10," - ")</f>
        <v>30</v>
      </c>
      <c r="AC10" s="344">
        <f t="shared" ref="AC10:AC13" si="1">IF(ISNUMBER(AA10+AB10),AA10+AB10," - ")</f>
        <v>91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1.1111111111111112</v>
      </c>
      <c r="AM10" s="265">
        <f>IF(ISNUMBER(((NºAsuntos!I10/NºAsuntos!G10)*11)/factor_trimestre),((NºAsuntos!I10/NºAsuntos!G10)*11)/factor_trimestre," - ")</f>
        <v>3.66</v>
      </c>
      <c r="AN10" s="249">
        <f>IF(ISNUMBER('Resol  Asuntos'!D10/NºAsuntos!G10),'Resol  Asuntos'!D10/NºAsuntos!G10," - ")</f>
        <v>0.3</v>
      </c>
      <c r="AO10" s="250">
        <f>IF(ISNUMBER((NºAsuntos!C10+NºAsuntos!E10)/NºAsuntos!G10),(NºAsuntos!C10+NºAsuntos!E10)/NºAsuntos!G10," - ")</f>
        <v>2.2200000000000002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46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8</v>
      </c>
      <c r="Y11" s="344">
        <f t="shared" si="0"/>
        <v>8</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870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44</v>
      </c>
      <c r="AJ11" s="236" t="str">
        <f>IF(ISNUMBER(Datos!BW11),Datos!BW11," - ")</f>
        <v xml:space="preserve"> - </v>
      </c>
      <c r="AK11" s="237" t="str">
        <f>IF(ISNUMBER(Datos!BX11),Datos!BX11," - ")</f>
        <v xml:space="preserve"> - </v>
      </c>
      <c r="AL11" s="248">
        <f>IF(ISNUMBER(NºAsuntos!G11/NºAsuntos!E11),NºAsuntos!G11/NºAsuntos!E11," - ")</f>
        <v>0.42826086956521742</v>
      </c>
      <c r="AM11" s="265">
        <f>IF(ISNUMBER(((NºAsuntos!I11/NºAsuntos!G11)*11)/factor_trimestre),((NºAsuntos!I11/NºAsuntos!G11)*11)/factor_trimestre," - ")</f>
        <v>19.720812182741117</v>
      </c>
      <c r="AN11" s="249">
        <f>IF(ISNUMBER('Resol  Asuntos'!D11/NºAsuntos!G11),'Resol  Asuntos'!D11/NºAsuntos!G11," - ")</f>
        <v>0.2233502538071066</v>
      </c>
      <c r="AO11" s="250">
        <f>IF(ISNUMBER((NºAsuntos!C11+NºAsuntos!E11)/NºAsuntos!G11),(NºAsuntos!C11+NºAsuntos!E11)/NºAsuntos!G11," - ")</f>
        <v>7.5736040609137056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66</v>
      </c>
      <c r="G14" s="1013">
        <f t="shared" si="5"/>
        <v>66</v>
      </c>
      <c r="H14" s="1012">
        <f t="shared" si="5"/>
        <v>0</v>
      </c>
      <c r="I14" s="1014">
        <f t="shared" si="5"/>
        <v>0</v>
      </c>
      <c r="J14" s="1014">
        <f t="shared" si="5"/>
        <v>0</v>
      </c>
      <c r="K14" s="1014">
        <f t="shared" si="5"/>
        <v>0</v>
      </c>
      <c r="L14" s="1014">
        <f t="shared" si="5"/>
        <v>913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50</v>
      </c>
      <c r="X14" s="1014">
        <f t="shared" si="6"/>
        <v>584</v>
      </c>
      <c r="Y14" s="1015">
        <f t="shared" si="6"/>
        <v>634</v>
      </c>
      <c r="Z14" s="1015">
        <f t="shared" si="6"/>
        <v>0</v>
      </c>
      <c r="AA14" s="1015">
        <f t="shared" si="6"/>
        <v>61</v>
      </c>
      <c r="AB14" s="1015">
        <f t="shared" si="6"/>
        <v>8421</v>
      </c>
      <c r="AC14" s="1015">
        <f t="shared" si="6"/>
        <v>91</v>
      </c>
      <c r="AD14" s="1015">
        <f t="shared" si="6"/>
        <v>0</v>
      </c>
      <c r="AE14" s="1019">
        <f t="shared" si="6"/>
        <v>0</v>
      </c>
      <c r="AF14" s="1012">
        <f t="shared" si="6"/>
        <v>0</v>
      </c>
      <c r="AG14" s="1020">
        <f t="shared" si="6"/>
        <v>0</v>
      </c>
      <c r="AH14" s="1017">
        <f t="shared" si="6"/>
        <v>0</v>
      </c>
      <c r="AI14" s="1012">
        <f t="shared" si="6"/>
        <v>989</v>
      </c>
      <c r="AJ14" s="1014">
        <f t="shared" si="6"/>
        <v>0</v>
      </c>
      <c r="AK14" s="1017">
        <f>SUBTOTAL(9,AK9:AK13)</f>
        <v>0</v>
      </c>
      <c r="AL14" s="1021">
        <f>IF(ISNUMBER(NºAsuntos!G14/NºAsuntos!E14),NºAsuntos!G14/NºAsuntos!E14," - ")</f>
        <v>0.9892881824464409</v>
      </c>
      <c r="AM14" s="1021">
        <f>IF(ISNUMBER(((NºAsuntos!I14/NºAsuntos!G14)*11)/factor_trimestre),((NºAsuntos!I14/NºAsuntos!G14)*11)/factor_trimestre," - ")</f>
        <v>7.5560600768424742</v>
      </c>
      <c r="AN14" s="1022">
        <f>IF(ISNUMBER('Resol  Asuntos'!D14/NºAsuntos!G14),'Resol  Asuntos'!D14/NºAsuntos!G14," - ")</f>
        <v>0.34544184421935031</v>
      </c>
      <c r="AO14" s="1023">
        <f>IF(ISNUMBER((NºAsuntos!C14+NºAsuntos!E14)/NºAsuntos!G14),(NºAsuntos!C14+NºAsuntos!E14)/NºAsuntos!G14," - ")</f>
        <v>3.5186866922808244</v>
      </c>
      <c r="AP14" s="1024" t="str">
        <f t="shared" si="2"/>
        <v xml:space="preserve"> - </v>
      </c>
      <c r="AQ14" s="1024">
        <f>IF(ISNUMBER((H14-W14+K14)/(F14)),(H14-W14+K14)/(F14)," - ")</f>
        <v>-0.75757575757575757</v>
      </c>
      <c r="AR14" s="1025">
        <f>IF(ISNUMBER((Datos!P14-Datos!Q14)/(Datos!R14-Datos!P14+Datos!Q14)),(Datos!P14-Datos!Q14)/(Datos!R14-Datos!P14+Datos!Q14)," - ")</f>
        <v>4.065743944636678E-2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1496</v>
      </c>
      <c r="G16" s="343">
        <f>IF(ISNUMBER(IF(D_I="SI",Datos!I16,Datos!I16+Datos!AC16)),IF(D_I="SI",Datos!I16,Datos!I16+Datos!AC16)," - ")</f>
        <v>1472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164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2616</v>
      </c>
      <c r="X16" s="231">
        <f>IF(ISNUMBER(Datos!Q16),Datos!Q16," - ")</f>
        <v>120</v>
      </c>
      <c r="Y16" s="344">
        <f>SUM(W16)</f>
        <v>2616</v>
      </c>
      <c r="Z16" s="345" t="str">
        <f>IF(ISNUMBER(Datos!CC16),Datos!CC16," - ")</f>
        <v xml:space="preserve"> - </v>
      </c>
      <c r="AA16" s="342">
        <f>IF(ISNUMBER(IF(D_I="SI",Datos!L16,Datos!L16+Datos!AF16)),IF(D_I="SI",Datos!L16,Datos!L16+Datos!AF16)," - ")</f>
        <v>1543</v>
      </c>
      <c r="AB16" s="344">
        <f>IF(ISNUMBER(Datos!R16),Datos!R16," - ")</f>
        <v>248</v>
      </c>
      <c r="AC16" s="344">
        <f t="shared" ref="AC16:AC19" si="8">IF(ISNUMBER(AA16+AB16),AA16+AB16," - ")</f>
        <v>1791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312</v>
      </c>
      <c r="AJ16" s="236" t="str">
        <f>IF(ISNUMBER(Datos!BW16),Datos!BW16," - ")</f>
        <v xml:space="preserve"> - </v>
      </c>
      <c r="AK16" s="237" t="str">
        <f>IF(ISNUMBER(Datos!BX16),Datos!BX16," - ")</f>
        <v xml:space="preserve"> - </v>
      </c>
      <c r="AL16" s="248">
        <f>IF(ISNUMBER(NºAsuntos!G16/NºAsuntos!E16),NºAsuntos!G16/NºAsuntos!E16," - ")</f>
        <v>0.98235073225685321</v>
      </c>
      <c r="AM16" s="265">
        <f>IF(ISNUMBER(((NºAsuntos!I16/NºAsuntos!G16)*11)/factor_trimestre),((NºAsuntos!I16/NºAsuntos!G16)*11)/factor_trimestre," - ")</f>
        <v>1.7694954128440366</v>
      </c>
      <c r="AN16" s="249">
        <f>IF(ISNUMBER('Resol  Asuntos'!D16/NºAsuntos!G16),'Resol  Asuntos'!D16/NºAsuntos!G16," - ")</f>
        <v>0.11926605504587157</v>
      </c>
      <c r="AO16" s="250">
        <f>IF(ISNUMBER((NºAsuntos!C16+NºAsuntos!E16)/NºAsuntos!G16),(NºAsuntos!C16+NºAsuntos!E16)/NºAsuntos!G16," - ")</f>
        <v>1.5806574923547401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155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286</v>
      </c>
      <c r="X18" s="231">
        <f>IF(ISNUMBER(Datos!Q18),Datos!Q18," - ")</f>
        <v>3</v>
      </c>
      <c r="Y18" s="344">
        <f t="shared" si="9"/>
        <v>289</v>
      </c>
      <c r="Z18" s="345" t="str">
        <f>IF(ISNUMBER(Datos!CC18),Datos!CC18," - ")</f>
        <v xml:space="preserve"> - </v>
      </c>
      <c r="AA18" s="342">
        <f>IF(ISNUMBER(Datos!L18),Datos!L18,"-")</f>
        <v>159</v>
      </c>
      <c r="AB18" s="344">
        <f>IF(ISNUMBER(Datos!R18),Datos!R18," - ")</f>
        <v>0</v>
      </c>
      <c r="AC18" s="344">
        <f t="shared" si="8"/>
        <v>159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0.99305555555555558</v>
      </c>
      <c r="AM18" s="265">
        <f>IF(ISNUMBER(((NºAsuntos!I18/NºAsuntos!G18)*11)/factor_trimestre),((NºAsuntos!I18/NºAsuntos!G18)*11)/factor_trimestre," - ")</f>
        <v>1.6678321678321677</v>
      </c>
      <c r="AN18" s="249">
        <f>IF(ISNUMBER('Resol  Asuntos'!D18/NºAsuntos!G18),'Resol  Asuntos'!D18/NºAsuntos!G18," - ")</f>
        <v>3.4965034965034968E-2</v>
      </c>
      <c r="AO18" s="250">
        <f>IF(ISNUMBER((NºAsuntos!C18+NºAsuntos!E18)/NºAsuntos!G18),(NºAsuntos!C18+NºAsuntos!E18)/NºAsuntos!G18," - ")</f>
        <v>1.548951048951049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1496</v>
      </c>
      <c r="G20" s="1013">
        <f>SUBTOTAL(9,G16:G19)</f>
        <v>1627</v>
      </c>
      <c r="H20" s="1012">
        <f t="shared" ref="H20:O20" si="12">SUBTOTAL(9,H15:H19)</f>
        <v>0</v>
      </c>
      <c r="I20" s="1014">
        <f t="shared" si="12"/>
        <v>0</v>
      </c>
      <c r="J20" s="1014">
        <f t="shared" si="12"/>
        <v>0</v>
      </c>
      <c r="K20" s="1014">
        <f t="shared" si="12"/>
        <v>0</v>
      </c>
      <c r="L20" s="1014">
        <f t="shared" si="12"/>
        <v>164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2902</v>
      </c>
      <c r="X20" s="1014">
        <f t="shared" si="13"/>
        <v>123</v>
      </c>
      <c r="Y20" s="1015">
        <f t="shared" si="13"/>
        <v>2905</v>
      </c>
      <c r="Z20" s="1015">
        <f t="shared" si="13"/>
        <v>0</v>
      </c>
      <c r="AA20" s="1015">
        <f t="shared" si="13"/>
        <v>1702</v>
      </c>
      <c r="AB20" s="1015">
        <f t="shared" si="13"/>
        <v>248</v>
      </c>
      <c r="AC20" s="1015">
        <f t="shared" si="13"/>
        <v>1950</v>
      </c>
      <c r="AD20" s="1015">
        <f t="shared" si="13"/>
        <v>0</v>
      </c>
      <c r="AE20" s="1019">
        <f t="shared" si="13"/>
        <v>0</v>
      </c>
      <c r="AF20" s="1012">
        <f t="shared" si="13"/>
        <v>0</v>
      </c>
      <c r="AG20" s="1020">
        <f t="shared" si="13"/>
        <v>0</v>
      </c>
      <c r="AH20" s="1017">
        <f t="shared" si="13"/>
        <v>0</v>
      </c>
      <c r="AI20" s="1012">
        <f t="shared" si="13"/>
        <v>322</v>
      </c>
      <c r="AJ20" s="1014">
        <f t="shared" si="13"/>
        <v>0</v>
      </c>
      <c r="AK20" s="1017">
        <f t="shared" si="13"/>
        <v>0</v>
      </c>
      <c r="AL20" s="1021">
        <f>IF(ISNUMBER(NºAsuntos!G20/NºAsuntos!E20),NºAsuntos!G20/NºAsuntos!E20," - ")</f>
        <v>0.98339545916638427</v>
      </c>
      <c r="AM20" s="1021">
        <f>IF(ISNUMBER(((NºAsuntos!I20/NºAsuntos!G20)*11)/factor_trimestre),((NºAsuntos!I20/NºAsuntos!G20)*11)/factor_trimestre," - ")</f>
        <v>1.75947622329428</v>
      </c>
      <c r="AN20" s="1022">
        <f>IF(ISNUMBER('Resol  Asuntos'!D20/NºAsuntos!G20),'Resol  Asuntos'!D20/NºAsuntos!G20," - ")</f>
        <v>0.11095796002756719</v>
      </c>
      <c r="AO20" s="1023">
        <f>IF(ISNUMBER((NºAsuntos!C20+NºAsuntos!E20)/NºAsuntos!G20),(NºAsuntos!C20+NºAsuntos!E20)/NºAsuntos!G20," - ")</f>
        <v>1.5775327360441076</v>
      </c>
      <c r="AP20" s="1024" t="str">
        <f t="shared" si="2"/>
        <v xml:space="preserve"> - </v>
      </c>
      <c r="AQ20" s="1024">
        <f>IF(ISNUMBER((H20-W20+K20)/(F20)),(H20-W20+K20)/(F20)," - ")</f>
        <v>-1.9398395721925135</v>
      </c>
      <c r="AR20" s="1025">
        <f>IF(ISNUMBER((Datos!P20-Datos!Q20)/(Datos!R20-Datos!P20+Datos!Q20)),(Datos!P20-Datos!Q20)/(Datos!R20-Datos!P20+Datos!Q20)," - ")</f>
        <v>0.19806763285024154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1562</v>
      </c>
      <c r="G21" s="968">
        <f t="shared" si="15"/>
        <v>1693</v>
      </c>
      <c r="H21" s="967">
        <f t="shared" si="15"/>
        <v>0</v>
      </c>
      <c r="I21" s="969">
        <f t="shared" si="15"/>
        <v>0</v>
      </c>
      <c r="J21" s="969">
        <f t="shared" si="15"/>
        <v>0</v>
      </c>
      <c r="K21" s="1028">
        <f t="shared" si="15"/>
        <v>0</v>
      </c>
      <c r="L21" s="969">
        <f t="shared" si="15"/>
        <v>1077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2952</v>
      </c>
      <c r="X21" s="968">
        <f t="shared" si="16"/>
        <v>707</v>
      </c>
      <c r="Y21" s="975">
        <f t="shared" si="16"/>
        <v>3539</v>
      </c>
      <c r="Z21" s="975">
        <f t="shared" si="16"/>
        <v>0</v>
      </c>
      <c r="AA21" s="975">
        <f t="shared" si="16"/>
        <v>1763</v>
      </c>
      <c r="AB21" s="975">
        <f t="shared" si="16"/>
        <v>8669</v>
      </c>
      <c r="AC21" s="975">
        <f t="shared" si="16"/>
        <v>2041</v>
      </c>
      <c r="AD21" s="975">
        <f t="shared" si="16"/>
        <v>0</v>
      </c>
      <c r="AE21" s="977">
        <f t="shared" si="16"/>
        <v>0</v>
      </c>
      <c r="AF21" s="978">
        <f t="shared" si="16"/>
        <v>0</v>
      </c>
      <c r="AG21" s="979">
        <f t="shared" si="16"/>
        <v>0</v>
      </c>
      <c r="AH21" s="977">
        <f t="shared" si="16"/>
        <v>0</v>
      </c>
      <c r="AI21" s="967">
        <f t="shared" si="16"/>
        <v>1311</v>
      </c>
      <c r="AJ21" s="967">
        <f t="shared" si="16"/>
        <v>0</v>
      </c>
      <c r="AK21" s="977">
        <f t="shared" si="16"/>
        <v>0</v>
      </c>
      <c r="AL21" s="1031">
        <f>IF(ISNUMBER(NºAsuntos!G21/NºAsuntos!E21),NºAsuntos!G21/NºAsuntos!E21," - ")</f>
        <v>0.98631308810949525</v>
      </c>
      <c r="AM21" s="1032">
        <f>IF(ISNUMBER(((NºAsuntos!I21/NºAsuntos!G21)*11)/factor_trimestre),((NºAsuntos!I21/NºAsuntos!G21)*11)/factor_trimestre," - ")</f>
        <v>4.6381613183000869</v>
      </c>
      <c r="AN21" s="1032">
        <f>IF(ISNUMBER('Resol  Asuntos'!D21/NºAsuntos!G21),'Resol  Asuntos'!D21/NºAsuntos!G21," - ")</f>
        <v>0.22740676496097137</v>
      </c>
      <c r="AO21" s="1033">
        <f>IF(ISNUMBER((NºAsuntos!C21+NºAsuntos!E21)/NºAsuntos!G21),(NºAsuntos!C21+NºAsuntos!E21)/NºAsuntos!G21," - ")</f>
        <v>2.5415437987857761</v>
      </c>
      <c r="AP21" s="1034" t="str">
        <f t="shared" si="2"/>
        <v xml:space="preserve"> - </v>
      </c>
      <c r="AQ21" s="1035">
        <f>IF(OR(ISNUMBER(FIND("01",Criterios!A8,1)),ISNUMBER(FIND("02",Criterios!A8,1)),ISNUMBER(FIND("03",Criterios!A8,1)),ISNUMBER(FIND("04",Criterios!A8,1))),(I21-W21+K21)/(F21-K21),(H21-W21+K21)/(F21-K21))</f>
        <v>-1.8898847631241997</v>
      </c>
      <c r="AR21" s="1036">
        <f>IF(ISNUMBER((Datos!P21-Datos!Q21)/(Datos!R21-Datos!P21+Datos!Q21)),(Datos!P21-Datos!Q21)/(Datos!R21-Datos!P21+Datos!Q21)," - ")</f>
        <v>4.4583684781298955E-2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677.2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2.5619594773603196</v>
      </c>
      <c r="F23" s="257">
        <f>IF(ISNUMBER(STDEV(F8:F20)),STDEV(F8:F20),"-")</f>
        <v>825.61088494116484</v>
      </c>
      <c r="G23" s="258">
        <f>IF(ISNUMBER(STDEV(G8:G20)),STDEV(G8:G20),"-")</f>
        <v>799.00732161851931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1447.4471320224445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421.14599888987715</v>
      </c>
      <c r="AJ23" s="257">
        <f t="shared" si="20"/>
        <v>0</v>
      </c>
      <c r="AK23" s="259">
        <f t="shared" si="20"/>
        <v>0</v>
      </c>
      <c r="AL23" s="254">
        <f t="shared" si="20"/>
        <v>0.23241732498801423</v>
      </c>
      <c r="AM23" s="255">
        <f t="shared" si="20"/>
        <v>6.4706024651920497</v>
      </c>
      <c r="AN23" s="255">
        <f t="shared" si="20"/>
        <v>0.12676702961000857</v>
      </c>
      <c r="AO23" s="256">
        <f t="shared" si="20"/>
        <v>2.1597074000722425</v>
      </c>
      <c r="AP23" s="296" t="str">
        <f t="shared" si="20"/>
        <v>-</v>
      </c>
      <c r="AQ23" s="297">
        <f t="shared" si="20"/>
        <v>0.83598676046698406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eJf5fhoRJUX4pVKlxNa7ZsgzVOPvDpycjFdyJHVoIgMnIp1QpFPRChPkELO87WeCtkH1K674hOUawtyVUX2Sg==" saltValue="wrhS4VOdrafd/C9z0aE1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JAEN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-8.8235294117647065E-2</v>
      </c>
      <c r="I9" s="360">
        <f>IF(ISNUMBER((Tasas!C9-Datos!BE9)/Datos!BE9),(Tasas!C9-Datos!BE9)/Datos!BE9," - ")</f>
        <v>-0.32838566016163817</v>
      </c>
      <c r="J9" s="359">
        <f>IF(ISNUMBER((Tasas!D9-Datos!BF9)/Datos!BF9),(Tasas!D9-Datos!BF9)/Datos!BF9," - ")</f>
        <v>0.35536123853210994</v>
      </c>
      <c r="K9" s="361">
        <f>IF(ISNUMBER((Tasas!E9-Datos!BG9)/Datos!BG9),(Tasas!E9-Datos!BG9)/Datos!BG9," - ")</f>
        <v>-0.25287959594233994</v>
      </c>
      <c r="M9" t="e">
        <f>IF(Monitorios="SI",Datos!CE9,0)</f>
        <v>#REF!</v>
      </c>
      <c r="N9" t="e">
        <f>IF(Monitorios="SI",Datos!CF9,0)</f>
        <v>#REF!</v>
      </c>
      <c r="O9" t="e">
        <f>IF(Monitorios="SI",Datos!CG9,0)</f>
        <v>#REF!</v>
      </c>
      <c r="P9" t="e">
        <f>IF(Monitorios="SI",Datos!CH9,0)</f>
        <v>#REF!</v>
      </c>
      <c r="Q9">
        <f>IF(J_V="SI",0,Datos!AG9)</f>
        <v>66</v>
      </c>
      <c r="R9">
        <f>IF(J_V="SI",0,Datos!AH9)</f>
        <v>116</v>
      </c>
      <c r="S9">
        <f>IF(J_V="SI",0,Datos!AI9)</f>
        <v>103</v>
      </c>
      <c r="T9">
        <f>IF(J_V="SI",0,Datos!AJ9)</f>
        <v>78</v>
      </c>
    </row>
    <row r="10" spans="2:20" ht="14.25">
      <c r="B10" s="280" t="s">
        <v>273</v>
      </c>
      <c r="C10" s="7" t="str">
        <f>Datos!A10</f>
        <v>Jdos. Violencia contra la mujer</v>
      </c>
      <c r="D10" s="362">
        <f>IF(ISNUMBER((Datos!I10-Datos!S10)/Datos!S10),(Datos!I10-Datos!S10)/Datos!S10," - ")</f>
        <v>0.5</v>
      </c>
      <c r="E10" s="358">
        <f>IF(ISNUMBER((Datos!J10-Datos!T10)/Datos!T10),(Datos!J10-Datos!T10)/Datos!T10," - ")</f>
        <v>0.40625</v>
      </c>
      <c r="F10" s="358">
        <f>IF(ISNUMBER((Datos!K10-Datos!U10)/Datos!U10),(Datos!K10-Datos!U10)/Datos!U10," - ")</f>
        <v>0.31578947368421051</v>
      </c>
      <c r="G10" s="359">
        <f>IF(ISNUMBER((Datos!L10-Datos!V10)/Datos!V10),(Datos!L10-Datos!V10)/Datos!V10," - ")</f>
        <v>0.60526315789473684</v>
      </c>
      <c r="H10" s="235">
        <f>IF(ISNUMBER((Datos!M10-Datos!W10)/Datos!W10),(Datos!M10-Datos!W10)/Datos!W10," - ")</f>
        <v>0.15384615384615385</v>
      </c>
      <c r="I10" s="360">
        <f>IF(ISNUMBER((Tasas!C10-Datos!BE10)/Datos!BE10),(Tasas!C10-Datos!BE10)/Datos!BE10," - ")</f>
        <v>0.21999999999999997</v>
      </c>
      <c r="J10" s="359">
        <f>IF(ISNUMBER((Tasas!D10-Datos!BF10)/Datos!BF10),(Tasas!D10-Datos!BF10)/Datos!BF10," - ")</f>
        <v>-0.12307692307692313</v>
      </c>
      <c r="K10" s="361">
        <f>IF(ISNUMBER((Tasas!E10-Datos!BG10)/Datos!BG10),(Tasas!E10-Datos!BG10)/Datos!BG10," - ")</f>
        <v>0.1100000000000001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-0.73964497041420119</v>
      </c>
      <c r="I11" s="360">
        <f>IF(ISNUMBER((Tasas!C11-Datos!BE11)/Datos!BE11),(Tasas!C11-Datos!BE11)/Datos!BE11," - ")</f>
        <v>1.7011536686663591</v>
      </c>
      <c r="J11" s="359">
        <f>IF(ISNUMBER((Tasas!D11-Datos!BF11)/Datos!BF11),(Tasas!D11-Datos!BF11)/Datos!BF11," - ")</f>
        <v>-0.4926918858250644</v>
      </c>
      <c r="K11" s="361">
        <f>IF(ISNUMBER((Tasas!E11-Datos!BG11)/Datos!BG11),(Tasas!E11-Datos!BG11)/Datos!BG11," - ")</f>
        <v>1.197220176850446</v>
      </c>
      <c r="M11" t="e">
        <f>IF(Monitorios="SI",Datos!CE11,0)</f>
        <v>#REF!</v>
      </c>
      <c r="N11" t="e">
        <f>IF(Monitorios="SI",Datos!CF11,0)</f>
        <v>#REF!</v>
      </c>
      <c r="O11" t="e">
        <f>IF(Monitorios="SI",Datos!CG11,0)</f>
        <v>#REF!</v>
      </c>
      <c r="P11" t="e">
        <f>IF(Monitorios="SI",Datos!CH11,0)</f>
        <v>#REF!</v>
      </c>
      <c r="Q11">
        <f>IF(J_V="SI",0,Datos!AG11)</f>
        <v>335</v>
      </c>
      <c r="R11">
        <f>IF(J_V="SI",0,Datos!AH11)</f>
        <v>155</v>
      </c>
      <c r="S11">
        <f>IF(J_V="SI",0,Datos!AI11)</f>
        <v>148</v>
      </c>
      <c r="T11">
        <f>IF(J_V="SI",0,Datos!AJ11)</f>
        <v>342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-0.17720465890183029</v>
      </c>
      <c r="I14" s="367">
        <f>IF(ISNUMBER((Tasas!C14-Datos!BE14)/Datos!BE14),(Tasas!C14-Datos!BE14)/Datos!BE14," - ")</f>
        <v>-0.20294373261044721</v>
      </c>
      <c r="J14" s="365">
        <f>IF(ISNUMBER((Tasas!D14-Datos!BF14)/Datos!BF14),(Tasas!D14-Datos!BF14)/Datos!BF14," - ")</f>
        <v>0.18549360175277044</v>
      </c>
      <c r="K14" s="368">
        <f>IF(ISNUMBER((Tasas!E14-Datos!BG14)/Datos!BG14),(Tasas!E14-Datos!BG14)/Datos!BG14," - ")</f>
        <v>-0.15486713100429592</v>
      </c>
      <c r="M14" t="e">
        <f>IF(Monitorios="SI",Datos!CE14,0)</f>
        <v>#REF!</v>
      </c>
      <c r="N14" t="e">
        <f>IF(Monitorios="SI",Datos!CF14,0)</f>
        <v>#REF!</v>
      </c>
      <c r="O14" t="e">
        <f>IF(Monitorios="SI",Datos!CG14,0)</f>
        <v>#REF!</v>
      </c>
      <c r="P14" t="e">
        <f>IF(Monitorios="SI",Datos!CH14,0)</f>
        <v>#REF!</v>
      </c>
      <c r="Q14">
        <f>IF(J_V="SI",0,Datos!AG14)</f>
        <v>401</v>
      </c>
      <c r="R14">
        <f>IF(J_V="SI",0,Datos!AH14)</f>
        <v>271</v>
      </c>
      <c r="S14">
        <f>IF(J_V="SI",0,Datos!AI14)</f>
        <v>251</v>
      </c>
      <c r="T14">
        <f>IF(J_V="SI",0,Datos!AJ14)</f>
        <v>420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0.33696639418710261</v>
      </c>
      <c r="E16" s="358">
        <f>IF(ISNUMBER(
   IF(D_I="SI",(Datos!J16-Datos!T16)/Datos!T16,(Datos!J16+Datos!AD16-(Datos!T16+Datos!AL16))/(Datos!T16+Datos!AL16))
     ),IF(D_I="SI",(Datos!J16-Datos!T16)/Datos!T16,(Datos!J16+Datos!AD16-(Datos!T16+Datos!AL16))/(Datos!T16+Datos!AL16))," - ")</f>
        <v>0.10360547036883548</v>
      </c>
      <c r="F16" s="358">
        <f>IF(ISNUMBER(
   IF(D_I="SI",(Datos!K16-Datos!U16)/Datos!U16,(Datos!K16+Datos!AE16-(Datos!U16+Datos!AM16))/(Datos!U16+Datos!AM16))
     ),IF(D_I="SI",(Datos!K16-Datos!U16)/Datos!U16,(Datos!K16+Datos!AE16-(Datos!U16+Datos!AM16))/(Datos!U16+Datos!AM16))," - ")</f>
        <v>5.8252427184466021E-2</v>
      </c>
      <c r="G16" s="359">
        <f>IF(ISNUMBER(
   IF(D_I="SI",(Datos!L16-Datos!V16)/Datos!V16,(Datos!L16+Datos!AF16-(Datos!V16+Datos!AN16))/(Datos!V16+Datos!AN16))
     ),IF(D_I="SI",(Datos!L16-Datos!V16)/Datos!V16,(Datos!L16+Datos!AF16-(Datos!V16+Datos!AN16))/(Datos!V16+Datos!AN16))," - ")</f>
        <v>0.42343173431734316</v>
      </c>
      <c r="H16" s="235">
        <f>IF(ISNUMBER((Datos!M16-Datos!W16)/Datos!W16),(Datos!M16-Datos!W16)/Datos!W16," - ")</f>
        <v>7.2164948453608241E-2</v>
      </c>
      <c r="I16" s="360">
        <f>IF(ISNUMBER((Tasas!C16-Datos!BE16)/Datos!BE16),(Tasas!C16-Datos!BE16)/Datos!BE16," - ")</f>
        <v>0.34507769389620491</v>
      </c>
      <c r="J16" s="359">
        <f>IF(ISNUMBER((Tasas!D16-Datos!BF16)/Datos!BF16),(Tasas!D16-Datos!BF16)/Datos!BF16," - ")</f>
        <v>1.3146694410290391E-2</v>
      </c>
      <c r="K16" s="361">
        <f>IF(ISNUMBER((Tasas!E16-Datos!BG16)/Datos!BG16),(Tasas!E16-Datos!BG16)/Datos!BG16," - ")</f>
        <v>0.11194801397294174</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v>
      </c>
      <c r="E18" s="358">
        <f>IF(ISNUMBER(
   IF(D_I="SI",(Datos!J18-Datos!T18)/Datos!T18,(Datos!J18+Datos!AD18-(Datos!T18+Datos!AL18))/(Datos!T18+Datos!AL18))
     ),IF(D_I="SI",(Datos!J18-Datos!T18)/Datos!T18,(Datos!J18+Datos!AD18-(Datos!T18+Datos!AL18))/(Datos!T18+Datos!AL18))," - ")</f>
        <v>0.125</v>
      </c>
      <c r="F18" s="358">
        <f>IF(ISNUMBER(
   IF(D_I="SI",(Datos!K18-Datos!U18)/Datos!U18,(Datos!K18+Datos!AE18-(Datos!U18+Datos!AM18))/(Datos!U18+Datos!AM18))
     ),IF(D_I="SI",(Datos!K18-Datos!U18)/Datos!U18,(Datos!K18+Datos!AE18-(Datos!U18+Datos!AM18))/(Datos!U18+Datos!AM18))," - ")</f>
        <v>5.5350553505535055E-2</v>
      </c>
      <c r="G18" s="359">
        <f>IF(ISNUMBER(
   IF(D_I="SI",(Datos!L18-Datos!V18)/Datos!V18,(Datos!L18+Datos!AF18-(Datos!V18+Datos!AN18))/(Datos!V18+Datos!AN18))
     ),IF(D_I="SI",(Datos!L18-Datos!V18)/Datos!V18,(Datos!L18+Datos!AF18-(Datos!V18+Datos!AN18))/(Datos!V18+Datos!AN18))," - ")</f>
        <v>0.45871559633027525</v>
      </c>
      <c r="H18" s="235">
        <f>IF(ISNUMBER((Datos!M18-Datos!W18)/Datos!W18),(Datos!M18-Datos!W18)/Datos!W18," - ")</f>
        <v>0.66666666666666663</v>
      </c>
      <c r="I18" s="360">
        <f>IF(ISNUMBER((Tasas!C18-Datos!BE18)/Datos!BE18),(Tasas!C18-Datos!BE18)/Datos!BE18," - ")</f>
        <v>0.38220953358568038</v>
      </c>
      <c r="J18" s="359">
        <f>IF(ISNUMBER((Tasas!D18-Datos!BF18)/Datos!BF18),(Tasas!D18-Datos!BF18)/Datos!BF18," - ")</f>
        <v>0.57925407925407946</v>
      </c>
      <c r="K18" s="361">
        <f>IF(ISNUMBER((Tasas!E18-Datos!BG18)/Datos!BG18),(Tasas!E18-Datos!BG18)/Datos!BG18," - ")</f>
        <v>0.10464666912035325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0.32816326530612244</v>
      </c>
      <c r="E20" s="364">
        <f>IF(ISNUMBER(
   IF(D_I="SI",(Datos!J20-Datos!T20)/Datos!T20,(Datos!J20+Datos!AD20-(Datos!T20+Datos!AL20))/(Datos!T20+Datos!AL20))
     ),IF(D_I="SI",(Datos!J20-Datos!T20)/Datos!T20,(Datos!J20+Datos!AD20-(Datos!T20+Datos!AL20))/(Datos!T20+Datos!AL20))," - ")</f>
        <v>0.10565754964406145</v>
      </c>
      <c r="F20" s="364">
        <f>IF(ISNUMBER(
   IF(D_I="SI",(Datos!K20-Datos!U20)/Datos!U20,(Datos!K20+Datos!AE20-(Datos!U20+Datos!AM20))/(Datos!U20+Datos!AM20))
     ),IF(D_I="SI",(Datos!K20-Datos!U20)/Datos!U20,(Datos!K20+Datos!AE20-(Datos!U20+Datos!AM20))/(Datos!U20+Datos!AM20))," - ")</f>
        <v>5.7965730951512945E-2</v>
      </c>
      <c r="G20" s="365">
        <f>IF(ISNUMBER(
   IF(D_I="SI",(Datos!L20-Datos!V20)/Datos!V20,(Datos!L20+Datos!AF20-(Datos!V20+Datos!AN20))/(Datos!V20+Datos!AN20))
     ),IF(D_I="SI",(Datos!L20-Datos!V20)/Datos!V20,(Datos!L20+Datos!AF20-(Datos!V20+Datos!AN20))/(Datos!V20+Datos!AN20))," - ")</f>
        <v>0.42665549036043587</v>
      </c>
      <c r="H20" s="366">
        <f>IF(ISNUMBER((Datos!M20-Datos!W20)/Datos!W20),(Datos!M20-Datos!W20)/Datos!W20," - ")</f>
        <v>8.4175084175084181E-2</v>
      </c>
      <c r="I20" s="367">
        <f>IF(ISNUMBER((Tasas!C20-Datos!BE20)/Datos!BE20),(Tasas!C20-Datos!BE20)/Datos!BE20," - ")</f>
        <v>0.34848932117804116</v>
      </c>
      <c r="J20" s="365">
        <f>IF(ISNUMBER((Tasas!D20-Datos!BF20)/Datos!BF20),(Tasas!D20-Datos!BF20)/Datos!BF20," - ")</f>
        <v>2.4773347998709776E-2</v>
      </c>
      <c r="K20" s="368">
        <f>IF(ISNUMBER((Tasas!E20-Datos!BG20)/Datos!BG20),(Tasas!E20-Datos!BG20)/Datos!BG20," - ")</f>
        <v>0.1112409591599865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-0.18978840846366146</v>
      </c>
      <c r="E21" s="373">
        <f>IF(ISNUMBER(
   IF(J_V="SI",(Datos!J21-Datos!T21)/Datos!T21,(Datos!J21+Datos!Z21-(Datos!T21+Datos!AH21))/(Datos!T21+Datos!AH21))
     ),IF(J_V="SI",(Datos!J21-Datos!T21)/Datos!T21,(Datos!J21+Datos!Z21-(Datos!T21+Datos!AH21))/(Datos!T21+Datos!AH21))," - ")</f>
        <v>0.17629301670356209</v>
      </c>
      <c r="F21" s="373">
        <f>IF(ISNUMBER(
   IF(J_V="SI",(Datos!K21-Datos!U21)/Datos!U21,(Datos!K21+Datos!AA21-(Datos!U21+Datos!AI21))/(Datos!U21+Datos!AI21))
     ),IF(J_V="SI",(Datos!K21-Datos!U21)/Datos!U21,(Datos!K21+Datos!AA21-(Datos!U21+Datos!AI21))/(Datos!U21+Datos!AI21))," - ")</f>
        <v>2.7263007840342125E-2</v>
      </c>
      <c r="G21" s="374">
        <f>IF(ISNUMBER(
   IF(J_V="SI",(Datos!L21-Datos!V21)/Datos!V21,(Datos!L21+Datos!AB21-(Datos!V21+Datos!AJ21))/(Datos!V21+Datos!AJ21))
     ),IF(J_V="SI",(Datos!L21-Datos!V21)/Datos!V21,(Datos!L21+Datos!AB21-(Datos!V21+Datos!AJ21))/(Datos!V21+Datos!AJ21))," - ")</f>
        <v>-0.13120187152743931</v>
      </c>
      <c r="H21" s="375">
        <f>IF(ISNUMBER((Datos!M21-Datos!W21)/Datos!W21),(Datos!M21-Datos!W21)/Datos!W21," - ")</f>
        <v>-0.12541694462975317</v>
      </c>
      <c r="I21" s="372">
        <f>IF(ISNUMBER((Tasas!C21-Datos!BE21)/Datos!BE21),(Tasas!C21-Datos!BE21)/Datos!BE21," - ")</f>
        <v>-0.15425930668031038</v>
      </c>
      <c r="J21" s="373">
        <f>IF(ISNUMBER((Tasas!D21-Datos!BF21)/Datos!BF21),(Tasas!D21-Datos!BF21)/Datos!BF21," - ")</f>
        <v>0.12639608557896859</v>
      </c>
      <c r="K21" s="374">
        <f>IF(ISNUMBER((Tasas!E21-Datos!BG21)/Datos!BG21),(Tasas!E21-Datos!BG21)/Datos!BG21," - ")</f>
        <v>-9.9492152359001482E-2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0.10502299940724348</v>
      </c>
      <c r="E23" s="283">
        <f t="shared" si="1"/>
        <v>0.1477292462412004</v>
      </c>
      <c r="F23" s="283">
        <f t="shared" si="1"/>
        <v>0.12930654340203707</v>
      </c>
      <c r="G23" s="284">
        <f t="shared" si="1"/>
        <v>8.598582597298883E-2</v>
      </c>
      <c r="H23" s="290">
        <f t="shared" si="1"/>
        <v>0.42161476973384115</v>
      </c>
      <c r="I23" s="282">
        <f t="shared" si="1"/>
        <v>0.65948203255899085</v>
      </c>
      <c r="J23" s="283">
        <f t="shared" si="1"/>
        <v>0.34469744468434438</v>
      </c>
      <c r="K23" s="284">
        <f t="shared" si="1"/>
        <v>0.47505121836083053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ZwSROKBjb+KR8JPrQ+skYb2pJcRrT8PEzaOaQl11hW2cTOi3p54giR8xSuoSn1kPQwy4O+x9xIfd6ZmWLNDRw==" saltValue="3RiWWwoagrlbnD07Kkw02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